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-1/APOYO/S CIUDADANO/"/>
    </mc:Choice>
  </mc:AlternateContent>
  <xr:revisionPtr revIDLastSave="1" documentId="8_{725F50CD-B9A8-4823-BB66-593AA6E0875B}" xr6:coauthVersionLast="47" xr6:coauthVersionMax="47" xr10:uidLastSave="{C0105473-ED0F-49D7-A8FA-5541A56A69E7}"/>
  <bookViews>
    <workbookView xWindow="-120" yWindow="-120" windowWidth="20730" windowHeight="11160" xr2:uid="{00000000-000D-0000-FFFF-FFFF00000000}"/>
  </bookViews>
  <sheets>
    <sheet name="ENCUESTA" sheetId="4" r:id="rId1"/>
    <sheet name="DV-IDENTITY-0" sheetId="7" state="veryHidden" r:id="rId2"/>
  </sheets>
  <definedNames>
    <definedName name="_xlnm._FilterDatabase" localSheetId="0" hidden="1">ENCUESTA!$B$3:$E$3</definedName>
    <definedName name="_xlnm.Print_Area" localSheetId="0">ENCUESTA!$A$1:$H$51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7" l="1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CW7" i="7"/>
  <c r="CX7" i="7"/>
  <c r="CY7" i="7"/>
  <c r="CZ7" i="7"/>
  <c r="DA7" i="7"/>
  <c r="DB7" i="7"/>
  <c r="DC7" i="7"/>
  <c r="DD7" i="7"/>
  <c r="DE7" i="7"/>
  <c r="DF7" i="7"/>
  <c r="DG7" i="7"/>
  <c r="DH7" i="7"/>
  <c r="DI7" i="7"/>
  <c r="DJ7" i="7"/>
  <c r="DK7" i="7"/>
  <c r="DL7" i="7"/>
  <c r="DM7" i="7"/>
  <c r="DN7" i="7"/>
  <c r="DO7" i="7"/>
  <c r="DP7" i="7"/>
  <c r="DQ7" i="7"/>
  <c r="DR7" i="7"/>
  <c r="DS7" i="7"/>
  <c r="DT7" i="7"/>
  <c r="DU7" i="7"/>
  <c r="DV7" i="7"/>
  <c r="DW7" i="7"/>
  <c r="DX7" i="7"/>
  <c r="DY7" i="7"/>
  <c r="DZ7" i="7"/>
  <c r="EA7" i="7"/>
  <c r="EB7" i="7"/>
  <c r="EC7" i="7"/>
  <c r="ED7" i="7"/>
  <c r="EE7" i="7"/>
  <c r="EF7" i="7"/>
  <c r="EG7" i="7"/>
  <c r="EH7" i="7"/>
  <c r="EI7" i="7"/>
  <c r="EJ7" i="7"/>
  <c r="EK7" i="7"/>
  <c r="EL7" i="7"/>
  <c r="EM7" i="7"/>
  <c r="EP7" i="7"/>
  <c r="EQ7" i="7"/>
  <c r="A6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CW6" i="7"/>
  <c r="CX6" i="7"/>
  <c r="CY6" i="7"/>
  <c r="CZ6" i="7"/>
  <c r="DA6" i="7"/>
  <c r="DB6" i="7"/>
  <c r="DC6" i="7"/>
  <c r="DD6" i="7"/>
  <c r="DE6" i="7"/>
  <c r="DF6" i="7"/>
  <c r="DG6" i="7"/>
  <c r="DH6" i="7"/>
  <c r="DI6" i="7"/>
  <c r="DJ6" i="7"/>
  <c r="DK6" i="7"/>
  <c r="DL6" i="7"/>
  <c r="DM6" i="7"/>
  <c r="DN6" i="7"/>
  <c r="DO6" i="7"/>
  <c r="DP6" i="7"/>
  <c r="DQ6" i="7"/>
  <c r="DR6" i="7"/>
  <c r="DS6" i="7"/>
  <c r="DT6" i="7"/>
  <c r="DU6" i="7"/>
  <c r="DV6" i="7"/>
  <c r="DW6" i="7"/>
  <c r="DX6" i="7"/>
  <c r="DY6" i="7"/>
  <c r="DZ6" i="7"/>
  <c r="EA6" i="7"/>
  <c r="EB6" i="7"/>
  <c r="EC6" i="7"/>
  <c r="ED6" i="7"/>
  <c r="EE6" i="7"/>
  <c r="EF6" i="7"/>
  <c r="EG6" i="7"/>
  <c r="EH6" i="7"/>
  <c r="EI6" i="7"/>
  <c r="EJ6" i="7"/>
  <c r="EK6" i="7"/>
  <c r="EL6" i="7"/>
  <c r="EM6" i="7"/>
  <c r="EN6" i="7"/>
  <c r="EO6" i="7"/>
  <c r="EP6" i="7"/>
  <c r="EQ6" i="7"/>
  <c r="ER6" i="7"/>
  <c r="ES6" i="7"/>
  <c r="ET6" i="7"/>
  <c r="EU6" i="7"/>
  <c r="EV6" i="7"/>
  <c r="EW6" i="7"/>
  <c r="EX6" i="7"/>
  <c r="EY6" i="7"/>
  <c r="EZ6" i="7"/>
  <c r="FA6" i="7"/>
  <c r="FB6" i="7"/>
  <c r="FC6" i="7"/>
  <c r="FD6" i="7"/>
  <c r="FE6" i="7"/>
  <c r="FF6" i="7"/>
  <c r="FG6" i="7"/>
  <c r="FH6" i="7"/>
  <c r="FI6" i="7"/>
  <c r="FJ6" i="7"/>
  <c r="FK6" i="7"/>
  <c r="FL6" i="7"/>
  <c r="FM6" i="7"/>
  <c r="FN6" i="7"/>
  <c r="FO6" i="7"/>
  <c r="FP6" i="7"/>
  <c r="FQ6" i="7"/>
  <c r="FR6" i="7"/>
  <c r="FS6" i="7"/>
  <c r="FT6" i="7"/>
  <c r="FU6" i="7"/>
  <c r="FV6" i="7"/>
  <c r="FW6" i="7"/>
  <c r="FX6" i="7"/>
  <c r="FY6" i="7"/>
  <c r="FZ6" i="7"/>
  <c r="GA6" i="7"/>
  <c r="GB6" i="7"/>
  <c r="GC6" i="7"/>
  <c r="GD6" i="7"/>
  <c r="GE6" i="7"/>
  <c r="GF6" i="7"/>
  <c r="GG6" i="7"/>
  <c r="GH6" i="7"/>
  <c r="GI6" i="7"/>
  <c r="GJ6" i="7"/>
  <c r="GK6" i="7"/>
  <c r="GL6" i="7"/>
  <c r="GM6" i="7"/>
  <c r="GN6" i="7"/>
  <c r="GO6" i="7"/>
  <c r="GP6" i="7"/>
  <c r="GQ6" i="7"/>
  <c r="GR6" i="7"/>
  <c r="GS6" i="7"/>
  <c r="GT6" i="7"/>
  <c r="GU6" i="7"/>
  <c r="GV6" i="7"/>
  <c r="GW6" i="7"/>
  <c r="GX6" i="7"/>
  <c r="GY6" i="7"/>
  <c r="GZ6" i="7"/>
  <c r="HA6" i="7"/>
  <c r="HB6" i="7"/>
  <c r="HC6" i="7"/>
  <c r="HD6" i="7"/>
  <c r="HE6" i="7"/>
  <c r="HF6" i="7"/>
  <c r="HG6" i="7"/>
  <c r="HH6" i="7"/>
  <c r="HI6" i="7"/>
  <c r="HJ6" i="7"/>
  <c r="HK6" i="7"/>
  <c r="HL6" i="7"/>
  <c r="HM6" i="7"/>
  <c r="HN6" i="7"/>
  <c r="HO6" i="7"/>
  <c r="HP6" i="7"/>
  <c r="HQ6" i="7"/>
  <c r="HR6" i="7"/>
  <c r="HS6" i="7"/>
  <c r="HT6" i="7"/>
  <c r="HU6" i="7"/>
  <c r="HV6" i="7"/>
  <c r="HW6" i="7"/>
  <c r="HX6" i="7"/>
  <c r="HY6" i="7"/>
  <c r="HZ6" i="7"/>
  <c r="IA6" i="7"/>
  <c r="IB6" i="7"/>
  <c r="IC6" i="7"/>
  <c r="ID6" i="7"/>
  <c r="IE6" i="7"/>
  <c r="IF6" i="7"/>
  <c r="IG6" i="7"/>
  <c r="IH6" i="7"/>
  <c r="II6" i="7"/>
  <c r="IJ6" i="7"/>
  <c r="IK6" i="7"/>
  <c r="IL6" i="7"/>
  <c r="IM6" i="7"/>
  <c r="IN6" i="7"/>
  <c r="IO6" i="7"/>
  <c r="IP6" i="7"/>
  <c r="IQ6" i="7"/>
  <c r="IR6" i="7"/>
  <c r="IS6" i="7"/>
  <c r="IT6" i="7"/>
  <c r="IU6" i="7"/>
  <c r="IV6" i="7"/>
  <c r="A5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BX5" i="7"/>
  <c r="BY5" i="7"/>
  <c r="BZ5" i="7"/>
  <c r="CA5" i="7"/>
  <c r="CB5" i="7"/>
  <c r="CC5" i="7"/>
  <c r="CD5" i="7"/>
  <c r="CE5" i="7"/>
  <c r="CF5" i="7"/>
  <c r="CG5" i="7"/>
  <c r="CH5" i="7"/>
  <c r="CI5" i="7"/>
  <c r="CJ5" i="7"/>
  <c r="CK5" i="7"/>
  <c r="CL5" i="7"/>
  <c r="CM5" i="7"/>
  <c r="CN5" i="7"/>
  <c r="CO5" i="7"/>
  <c r="CP5" i="7"/>
  <c r="CQ5" i="7"/>
  <c r="CR5" i="7"/>
  <c r="CS5" i="7"/>
  <c r="CT5" i="7"/>
  <c r="CU5" i="7"/>
  <c r="CV5" i="7"/>
  <c r="CW5" i="7"/>
  <c r="CX5" i="7"/>
  <c r="CY5" i="7"/>
  <c r="CZ5" i="7"/>
  <c r="DA5" i="7"/>
  <c r="DB5" i="7"/>
  <c r="DC5" i="7"/>
  <c r="DD5" i="7"/>
  <c r="DE5" i="7"/>
  <c r="DF5" i="7"/>
  <c r="DG5" i="7"/>
  <c r="DH5" i="7"/>
  <c r="DI5" i="7"/>
  <c r="DJ5" i="7"/>
  <c r="DK5" i="7"/>
  <c r="DL5" i="7"/>
  <c r="DM5" i="7"/>
  <c r="DN5" i="7"/>
  <c r="DO5" i="7"/>
  <c r="DP5" i="7"/>
  <c r="DQ5" i="7"/>
  <c r="DR5" i="7"/>
  <c r="DS5" i="7"/>
  <c r="DT5" i="7"/>
  <c r="DU5" i="7"/>
  <c r="DV5" i="7"/>
  <c r="DW5" i="7"/>
  <c r="DX5" i="7"/>
  <c r="DY5" i="7"/>
  <c r="DZ5" i="7"/>
  <c r="EA5" i="7"/>
  <c r="EB5" i="7"/>
  <c r="EC5" i="7"/>
  <c r="ED5" i="7"/>
  <c r="EE5" i="7"/>
  <c r="EF5" i="7"/>
  <c r="EG5" i="7"/>
  <c r="EH5" i="7"/>
  <c r="EI5" i="7"/>
  <c r="EJ5" i="7"/>
  <c r="EK5" i="7"/>
  <c r="EL5" i="7"/>
  <c r="EM5" i="7"/>
  <c r="EN5" i="7"/>
  <c r="EO5" i="7"/>
  <c r="EP5" i="7"/>
  <c r="EQ5" i="7"/>
  <c r="ER5" i="7"/>
  <c r="ES5" i="7"/>
  <c r="ET5" i="7"/>
  <c r="EU5" i="7"/>
  <c r="EV5" i="7"/>
  <c r="EW5" i="7"/>
  <c r="EX5" i="7"/>
  <c r="EY5" i="7"/>
  <c r="EZ5" i="7"/>
  <c r="FA5" i="7"/>
  <c r="FB5" i="7"/>
  <c r="FC5" i="7"/>
  <c r="FD5" i="7"/>
  <c r="FE5" i="7"/>
  <c r="FF5" i="7"/>
  <c r="FG5" i="7"/>
  <c r="FH5" i="7"/>
  <c r="FI5" i="7"/>
  <c r="FJ5" i="7"/>
  <c r="FK5" i="7"/>
  <c r="FL5" i="7"/>
  <c r="FM5" i="7"/>
  <c r="FN5" i="7"/>
  <c r="FO5" i="7"/>
  <c r="FP5" i="7"/>
  <c r="FQ5" i="7"/>
  <c r="FR5" i="7"/>
  <c r="FS5" i="7"/>
  <c r="FT5" i="7"/>
  <c r="FU5" i="7"/>
  <c r="FV5" i="7"/>
  <c r="FW5" i="7"/>
  <c r="FX5" i="7"/>
  <c r="FY5" i="7"/>
  <c r="FZ5" i="7"/>
  <c r="GA5" i="7"/>
  <c r="GB5" i="7"/>
  <c r="GC5" i="7"/>
  <c r="GD5" i="7"/>
  <c r="GE5" i="7"/>
  <c r="GF5" i="7"/>
  <c r="GG5" i="7"/>
  <c r="GH5" i="7"/>
  <c r="GI5" i="7"/>
  <c r="GJ5" i="7"/>
  <c r="GK5" i="7"/>
  <c r="GL5" i="7"/>
  <c r="GM5" i="7"/>
  <c r="GN5" i="7"/>
  <c r="GO5" i="7"/>
  <c r="GP5" i="7"/>
  <c r="GQ5" i="7"/>
  <c r="GR5" i="7"/>
  <c r="GS5" i="7"/>
  <c r="GT5" i="7"/>
  <c r="GU5" i="7"/>
  <c r="GV5" i="7"/>
  <c r="GW5" i="7"/>
  <c r="GX5" i="7"/>
  <c r="GY5" i="7"/>
  <c r="GZ5" i="7"/>
  <c r="HA5" i="7"/>
  <c r="HB5" i="7"/>
  <c r="HC5" i="7"/>
  <c r="HD5" i="7"/>
  <c r="HE5" i="7"/>
  <c r="HF5" i="7"/>
  <c r="HG5" i="7"/>
  <c r="HH5" i="7"/>
  <c r="HI5" i="7"/>
  <c r="HJ5" i="7"/>
  <c r="HK5" i="7"/>
  <c r="HL5" i="7"/>
  <c r="HM5" i="7"/>
  <c r="HN5" i="7"/>
  <c r="HO5" i="7"/>
  <c r="HP5" i="7"/>
  <c r="HQ5" i="7"/>
  <c r="HR5" i="7"/>
  <c r="HS5" i="7"/>
  <c r="HT5" i="7"/>
  <c r="HU5" i="7"/>
  <c r="HV5" i="7"/>
  <c r="HW5" i="7"/>
  <c r="HX5" i="7"/>
  <c r="HY5" i="7"/>
  <c r="HZ5" i="7"/>
  <c r="IA5" i="7"/>
  <c r="IB5" i="7"/>
  <c r="IC5" i="7"/>
  <c r="ID5" i="7"/>
  <c r="IE5" i="7"/>
  <c r="IF5" i="7"/>
  <c r="IG5" i="7"/>
  <c r="IH5" i="7"/>
  <c r="II5" i="7"/>
  <c r="IJ5" i="7"/>
  <c r="IK5" i="7"/>
  <c r="IL5" i="7"/>
  <c r="IM5" i="7"/>
  <c r="IN5" i="7"/>
  <c r="IO5" i="7"/>
  <c r="IP5" i="7"/>
  <c r="IQ5" i="7"/>
  <c r="IR5" i="7"/>
  <c r="IS5" i="7"/>
  <c r="IT5" i="7"/>
  <c r="IU5" i="7"/>
  <c r="IV5" i="7"/>
  <c r="A4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CD4" i="7"/>
  <c r="CE4" i="7"/>
  <c r="CF4" i="7"/>
  <c r="CG4" i="7"/>
  <c r="CH4" i="7"/>
  <c r="CI4" i="7"/>
  <c r="CJ4" i="7"/>
  <c r="CK4" i="7"/>
  <c r="CL4" i="7"/>
  <c r="CM4" i="7"/>
  <c r="CN4" i="7"/>
  <c r="CO4" i="7"/>
  <c r="CP4" i="7"/>
  <c r="CQ4" i="7"/>
  <c r="CR4" i="7"/>
  <c r="CS4" i="7"/>
  <c r="CT4" i="7"/>
  <c r="CU4" i="7"/>
  <c r="CV4" i="7"/>
  <c r="CW4" i="7"/>
  <c r="CX4" i="7"/>
  <c r="CY4" i="7"/>
  <c r="CZ4" i="7"/>
  <c r="DA4" i="7"/>
  <c r="DB4" i="7"/>
  <c r="DC4" i="7"/>
  <c r="DD4" i="7"/>
  <c r="DE4" i="7"/>
  <c r="DF4" i="7"/>
  <c r="DG4" i="7"/>
  <c r="DH4" i="7"/>
  <c r="DI4" i="7"/>
  <c r="DJ4" i="7"/>
  <c r="DK4" i="7"/>
  <c r="DL4" i="7"/>
  <c r="DM4" i="7"/>
  <c r="DN4" i="7"/>
  <c r="DO4" i="7"/>
  <c r="DP4" i="7"/>
  <c r="DQ4" i="7"/>
  <c r="DR4" i="7"/>
  <c r="DS4" i="7"/>
  <c r="DT4" i="7"/>
  <c r="DU4" i="7"/>
  <c r="DV4" i="7"/>
  <c r="DW4" i="7"/>
  <c r="DX4" i="7"/>
  <c r="DY4" i="7"/>
  <c r="DZ4" i="7"/>
  <c r="EA4" i="7"/>
  <c r="EB4" i="7"/>
  <c r="EC4" i="7"/>
  <c r="ED4" i="7"/>
  <c r="EE4" i="7"/>
  <c r="EF4" i="7"/>
  <c r="EG4" i="7"/>
  <c r="EH4" i="7"/>
  <c r="EI4" i="7"/>
  <c r="EJ4" i="7"/>
  <c r="EK4" i="7"/>
  <c r="EL4" i="7"/>
  <c r="EM4" i="7"/>
  <c r="EN4" i="7"/>
  <c r="EO4" i="7"/>
  <c r="EP4" i="7"/>
  <c r="EQ4" i="7"/>
  <c r="ER4" i="7"/>
  <c r="ES4" i="7"/>
  <c r="ET4" i="7"/>
  <c r="EU4" i="7"/>
  <c r="EV4" i="7"/>
  <c r="EW4" i="7"/>
  <c r="EX4" i="7"/>
  <c r="EY4" i="7"/>
  <c r="EZ4" i="7"/>
  <c r="FA4" i="7"/>
  <c r="FB4" i="7"/>
  <c r="FC4" i="7"/>
  <c r="FD4" i="7"/>
  <c r="FE4" i="7"/>
  <c r="FF4" i="7"/>
  <c r="FG4" i="7"/>
  <c r="FH4" i="7"/>
  <c r="FI4" i="7"/>
  <c r="FJ4" i="7"/>
  <c r="FK4" i="7"/>
  <c r="FL4" i="7"/>
  <c r="FM4" i="7"/>
  <c r="FN4" i="7"/>
  <c r="FO4" i="7"/>
  <c r="FP4" i="7"/>
  <c r="FQ4" i="7"/>
  <c r="FR4" i="7"/>
  <c r="FS4" i="7"/>
  <c r="FT4" i="7"/>
  <c r="FU4" i="7"/>
  <c r="FV4" i="7"/>
  <c r="FW4" i="7"/>
  <c r="FX4" i="7"/>
  <c r="FY4" i="7"/>
  <c r="FZ4" i="7"/>
  <c r="GA4" i="7"/>
  <c r="GB4" i="7"/>
  <c r="GC4" i="7"/>
  <c r="GD4" i="7"/>
  <c r="GE4" i="7"/>
  <c r="GF4" i="7"/>
  <c r="GG4" i="7"/>
  <c r="GH4" i="7"/>
  <c r="GI4" i="7"/>
  <c r="GJ4" i="7"/>
  <c r="GK4" i="7"/>
  <c r="GL4" i="7"/>
  <c r="GM4" i="7"/>
  <c r="GN4" i="7"/>
  <c r="GO4" i="7"/>
  <c r="GP4" i="7"/>
  <c r="GQ4" i="7"/>
  <c r="GR4" i="7"/>
  <c r="GS4" i="7"/>
  <c r="GT4" i="7"/>
  <c r="GU4" i="7"/>
  <c r="GV4" i="7"/>
  <c r="GW4" i="7"/>
  <c r="GX4" i="7"/>
  <c r="GY4" i="7"/>
  <c r="GZ4" i="7"/>
  <c r="HA4" i="7"/>
  <c r="HB4" i="7"/>
  <c r="HC4" i="7"/>
  <c r="HD4" i="7"/>
  <c r="HE4" i="7"/>
  <c r="HF4" i="7"/>
  <c r="HG4" i="7"/>
  <c r="HH4" i="7"/>
  <c r="HI4" i="7"/>
  <c r="HJ4" i="7"/>
  <c r="HK4" i="7"/>
  <c r="HL4" i="7"/>
  <c r="HM4" i="7"/>
  <c r="HN4" i="7"/>
  <c r="HO4" i="7"/>
  <c r="HP4" i="7"/>
  <c r="HQ4" i="7"/>
  <c r="HR4" i="7"/>
  <c r="HS4" i="7"/>
  <c r="HT4" i="7"/>
  <c r="HU4" i="7"/>
  <c r="HV4" i="7"/>
  <c r="HW4" i="7"/>
  <c r="HX4" i="7"/>
  <c r="HY4" i="7"/>
  <c r="HZ4" i="7"/>
  <c r="IA4" i="7"/>
  <c r="IB4" i="7"/>
  <c r="IC4" i="7"/>
  <c r="ID4" i="7"/>
  <c r="IE4" i="7"/>
  <c r="IF4" i="7"/>
  <c r="IG4" i="7"/>
  <c r="IH4" i="7"/>
  <c r="II4" i="7"/>
  <c r="IJ4" i="7"/>
  <c r="IK4" i="7"/>
  <c r="IL4" i="7"/>
  <c r="IM4" i="7"/>
  <c r="IN4" i="7"/>
  <c r="IO4" i="7"/>
  <c r="IP4" i="7"/>
  <c r="IQ4" i="7"/>
  <c r="IR4" i="7"/>
  <c r="IS4" i="7"/>
  <c r="IT4" i="7"/>
  <c r="IU4" i="7"/>
  <c r="IV4" i="7"/>
  <c r="A3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BX3" i="7"/>
  <c r="BY3" i="7"/>
  <c r="BZ3" i="7"/>
  <c r="CA3" i="7"/>
  <c r="CB3" i="7"/>
  <c r="CC3" i="7"/>
  <c r="CD3" i="7"/>
  <c r="CE3" i="7"/>
  <c r="CF3" i="7"/>
  <c r="CG3" i="7"/>
  <c r="CH3" i="7"/>
  <c r="CI3" i="7"/>
  <c r="CJ3" i="7"/>
  <c r="CK3" i="7"/>
  <c r="CL3" i="7"/>
  <c r="CM3" i="7"/>
  <c r="CN3" i="7"/>
  <c r="CO3" i="7"/>
  <c r="CP3" i="7"/>
  <c r="CQ3" i="7"/>
  <c r="CR3" i="7"/>
  <c r="CS3" i="7"/>
  <c r="CT3" i="7"/>
  <c r="CU3" i="7"/>
  <c r="CV3" i="7"/>
  <c r="CW3" i="7"/>
  <c r="CX3" i="7"/>
  <c r="CY3" i="7"/>
  <c r="CZ3" i="7"/>
  <c r="DA3" i="7"/>
  <c r="DB3" i="7"/>
  <c r="DC3" i="7"/>
  <c r="DD3" i="7"/>
  <c r="DE3" i="7"/>
  <c r="DF3" i="7"/>
  <c r="DG3" i="7"/>
  <c r="DH3" i="7"/>
  <c r="DI3" i="7"/>
  <c r="DJ3" i="7"/>
  <c r="DK3" i="7"/>
  <c r="DL3" i="7"/>
  <c r="DM3" i="7"/>
  <c r="DN3" i="7"/>
  <c r="DO3" i="7"/>
  <c r="DP3" i="7"/>
  <c r="DQ3" i="7"/>
  <c r="DR3" i="7"/>
  <c r="DS3" i="7"/>
  <c r="DT3" i="7"/>
  <c r="DU3" i="7"/>
  <c r="DV3" i="7"/>
  <c r="DW3" i="7"/>
  <c r="DX3" i="7"/>
  <c r="DY3" i="7"/>
  <c r="DZ3" i="7"/>
  <c r="EA3" i="7"/>
  <c r="EB3" i="7"/>
  <c r="EC3" i="7"/>
  <c r="ED3" i="7"/>
  <c r="EE3" i="7"/>
  <c r="EF3" i="7"/>
  <c r="EG3" i="7"/>
  <c r="EH3" i="7"/>
  <c r="EI3" i="7"/>
  <c r="EJ3" i="7"/>
  <c r="EK3" i="7"/>
  <c r="EL3" i="7"/>
  <c r="EM3" i="7"/>
  <c r="EN3" i="7"/>
  <c r="EO3" i="7"/>
  <c r="EP3" i="7"/>
  <c r="EQ3" i="7"/>
  <c r="ER3" i="7"/>
  <c r="ES3" i="7"/>
  <c r="ET3" i="7"/>
  <c r="EU3" i="7"/>
  <c r="EV3" i="7"/>
  <c r="EW3" i="7"/>
  <c r="EX3" i="7"/>
  <c r="EY3" i="7"/>
  <c r="EZ3" i="7"/>
  <c r="FA3" i="7"/>
  <c r="FB3" i="7"/>
  <c r="FC3" i="7"/>
  <c r="FD3" i="7"/>
  <c r="FE3" i="7"/>
  <c r="FF3" i="7"/>
  <c r="FG3" i="7"/>
  <c r="FH3" i="7"/>
  <c r="FI3" i="7"/>
  <c r="FJ3" i="7"/>
  <c r="FK3" i="7"/>
  <c r="FL3" i="7"/>
  <c r="FM3" i="7"/>
  <c r="FN3" i="7"/>
  <c r="FO3" i="7"/>
  <c r="FP3" i="7"/>
  <c r="FQ3" i="7"/>
  <c r="FR3" i="7"/>
  <c r="FS3" i="7"/>
  <c r="FT3" i="7"/>
  <c r="FU3" i="7"/>
  <c r="FV3" i="7"/>
  <c r="FW3" i="7"/>
  <c r="FX3" i="7"/>
  <c r="FY3" i="7"/>
  <c r="FZ3" i="7"/>
  <c r="GA3" i="7"/>
  <c r="GB3" i="7"/>
  <c r="GC3" i="7"/>
  <c r="GD3" i="7"/>
  <c r="GE3" i="7"/>
  <c r="GF3" i="7"/>
  <c r="GG3" i="7"/>
  <c r="GH3" i="7"/>
  <c r="GI3" i="7"/>
  <c r="GJ3" i="7"/>
  <c r="GK3" i="7"/>
  <c r="GL3" i="7"/>
  <c r="GM3" i="7"/>
  <c r="GN3" i="7"/>
  <c r="GO3" i="7"/>
  <c r="GP3" i="7"/>
  <c r="GQ3" i="7"/>
  <c r="GR3" i="7"/>
  <c r="GS3" i="7"/>
  <c r="GT3" i="7"/>
  <c r="GU3" i="7"/>
  <c r="GV3" i="7"/>
  <c r="GW3" i="7"/>
  <c r="GX3" i="7"/>
  <c r="GY3" i="7"/>
  <c r="GZ3" i="7"/>
  <c r="HA3" i="7"/>
  <c r="HB3" i="7"/>
  <c r="HC3" i="7"/>
  <c r="HD3" i="7"/>
  <c r="HE3" i="7"/>
  <c r="HF3" i="7"/>
  <c r="HG3" i="7"/>
  <c r="HH3" i="7"/>
  <c r="HI3" i="7"/>
  <c r="HJ3" i="7"/>
  <c r="HK3" i="7"/>
  <c r="HL3" i="7"/>
  <c r="HM3" i="7"/>
  <c r="HN3" i="7"/>
  <c r="HO3" i="7"/>
  <c r="HP3" i="7"/>
  <c r="HQ3" i="7"/>
  <c r="HR3" i="7"/>
  <c r="HS3" i="7"/>
  <c r="HT3" i="7"/>
  <c r="HU3" i="7"/>
  <c r="HV3" i="7"/>
  <c r="HW3" i="7"/>
  <c r="HX3" i="7"/>
  <c r="HY3" i="7"/>
  <c r="HZ3" i="7"/>
  <c r="IA3" i="7"/>
  <c r="IB3" i="7"/>
  <c r="IC3" i="7"/>
  <c r="ID3" i="7"/>
  <c r="IE3" i="7"/>
  <c r="IF3" i="7"/>
  <c r="IG3" i="7"/>
  <c r="IH3" i="7"/>
  <c r="II3" i="7"/>
  <c r="IJ3" i="7"/>
  <c r="IK3" i="7"/>
  <c r="IL3" i="7"/>
  <c r="IM3" i="7"/>
  <c r="IN3" i="7"/>
  <c r="IO3" i="7"/>
  <c r="IP3" i="7"/>
  <c r="IQ3" i="7"/>
  <c r="IR3" i="7"/>
  <c r="IS3" i="7"/>
  <c r="IT3" i="7"/>
  <c r="IU3" i="7"/>
  <c r="IV3" i="7"/>
  <c r="A2" i="7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Q2" i="7"/>
  <c r="BR2" i="7"/>
  <c r="BS2" i="7"/>
  <c r="BT2" i="7"/>
  <c r="BU2" i="7"/>
  <c r="BV2" i="7"/>
  <c r="BW2" i="7"/>
  <c r="BX2" i="7"/>
  <c r="BY2" i="7"/>
  <c r="BZ2" i="7"/>
  <c r="CA2" i="7"/>
  <c r="CB2" i="7"/>
  <c r="CC2" i="7"/>
  <c r="CD2" i="7"/>
  <c r="CE2" i="7"/>
  <c r="CF2" i="7"/>
  <c r="CG2" i="7"/>
  <c r="CH2" i="7"/>
  <c r="CI2" i="7"/>
  <c r="CJ2" i="7"/>
  <c r="CK2" i="7"/>
  <c r="CL2" i="7"/>
  <c r="CM2" i="7"/>
  <c r="CN2" i="7"/>
  <c r="CO2" i="7"/>
  <c r="CP2" i="7"/>
  <c r="CQ2" i="7"/>
  <c r="CR2" i="7"/>
  <c r="CS2" i="7"/>
  <c r="CT2" i="7"/>
  <c r="CU2" i="7"/>
  <c r="CV2" i="7"/>
  <c r="CW2" i="7"/>
  <c r="CX2" i="7"/>
  <c r="CY2" i="7"/>
  <c r="CZ2" i="7"/>
  <c r="DA2" i="7"/>
  <c r="DB2" i="7"/>
  <c r="DC2" i="7"/>
  <c r="DD2" i="7"/>
  <c r="DE2" i="7"/>
  <c r="DF2" i="7"/>
  <c r="DG2" i="7"/>
  <c r="DH2" i="7"/>
  <c r="DI2" i="7"/>
  <c r="DJ2" i="7"/>
  <c r="DK2" i="7"/>
  <c r="DL2" i="7"/>
  <c r="DM2" i="7"/>
  <c r="DN2" i="7"/>
  <c r="DO2" i="7"/>
  <c r="DP2" i="7"/>
  <c r="DQ2" i="7"/>
  <c r="DR2" i="7"/>
  <c r="DS2" i="7"/>
  <c r="DT2" i="7"/>
  <c r="DU2" i="7"/>
  <c r="DV2" i="7"/>
  <c r="DW2" i="7"/>
  <c r="DX2" i="7"/>
  <c r="DY2" i="7"/>
  <c r="DZ2" i="7"/>
  <c r="EA2" i="7"/>
  <c r="EB2" i="7"/>
  <c r="EC2" i="7"/>
  <c r="ED2" i="7"/>
  <c r="EE2" i="7"/>
  <c r="EF2" i="7"/>
  <c r="EG2" i="7"/>
  <c r="EH2" i="7"/>
  <c r="EI2" i="7"/>
  <c r="EJ2" i="7"/>
  <c r="EK2" i="7"/>
  <c r="EL2" i="7"/>
  <c r="EM2" i="7"/>
  <c r="EN2" i="7"/>
  <c r="EO2" i="7"/>
  <c r="EP2" i="7"/>
  <c r="EQ2" i="7"/>
  <c r="ER2" i="7"/>
  <c r="ES2" i="7"/>
  <c r="ET2" i="7"/>
  <c r="EU2" i="7"/>
  <c r="EV2" i="7"/>
  <c r="EW2" i="7"/>
  <c r="EX2" i="7"/>
  <c r="EY2" i="7"/>
  <c r="EZ2" i="7"/>
  <c r="FA2" i="7"/>
  <c r="FB2" i="7"/>
  <c r="FC2" i="7"/>
  <c r="FD2" i="7"/>
  <c r="FE2" i="7"/>
  <c r="FF2" i="7"/>
  <c r="FG2" i="7"/>
  <c r="FH2" i="7"/>
  <c r="FI2" i="7"/>
  <c r="FJ2" i="7"/>
  <c r="FK2" i="7"/>
  <c r="FL2" i="7"/>
  <c r="FM2" i="7"/>
  <c r="FN2" i="7"/>
  <c r="FO2" i="7"/>
  <c r="FP2" i="7"/>
  <c r="FQ2" i="7"/>
  <c r="FR2" i="7"/>
  <c r="FS2" i="7"/>
  <c r="FT2" i="7"/>
  <c r="FU2" i="7"/>
  <c r="FV2" i="7"/>
  <c r="FW2" i="7"/>
  <c r="FX2" i="7"/>
  <c r="FY2" i="7"/>
  <c r="FZ2" i="7"/>
  <c r="GA2" i="7"/>
  <c r="GB2" i="7"/>
  <c r="GC2" i="7"/>
  <c r="GD2" i="7"/>
  <c r="GE2" i="7"/>
  <c r="GF2" i="7"/>
  <c r="GG2" i="7"/>
  <c r="GH2" i="7"/>
  <c r="GI2" i="7"/>
  <c r="GJ2" i="7"/>
  <c r="GK2" i="7"/>
  <c r="GL2" i="7"/>
  <c r="GM2" i="7"/>
  <c r="GN2" i="7"/>
  <c r="GO2" i="7"/>
  <c r="GP2" i="7"/>
  <c r="GQ2" i="7"/>
  <c r="GR2" i="7"/>
  <c r="GS2" i="7"/>
  <c r="GT2" i="7"/>
  <c r="GU2" i="7"/>
  <c r="GV2" i="7"/>
  <c r="GW2" i="7"/>
  <c r="GX2" i="7"/>
  <c r="GY2" i="7"/>
  <c r="GZ2" i="7"/>
  <c r="HA2" i="7"/>
  <c r="HB2" i="7"/>
  <c r="HC2" i="7"/>
  <c r="HD2" i="7"/>
  <c r="HE2" i="7"/>
  <c r="HF2" i="7"/>
  <c r="HG2" i="7"/>
  <c r="HH2" i="7"/>
  <c r="HI2" i="7"/>
  <c r="HJ2" i="7"/>
  <c r="HK2" i="7"/>
  <c r="HL2" i="7"/>
  <c r="HM2" i="7"/>
  <c r="HN2" i="7"/>
  <c r="HO2" i="7"/>
  <c r="HP2" i="7"/>
  <c r="HQ2" i="7"/>
  <c r="HR2" i="7"/>
  <c r="HS2" i="7"/>
  <c r="HT2" i="7"/>
  <c r="HU2" i="7"/>
  <c r="HV2" i="7"/>
  <c r="HW2" i="7"/>
  <c r="HX2" i="7"/>
  <c r="HY2" i="7"/>
  <c r="HZ2" i="7"/>
  <c r="IA2" i="7"/>
  <c r="IB2" i="7"/>
  <c r="IC2" i="7"/>
  <c r="ID2" i="7"/>
  <c r="IE2" i="7"/>
  <c r="IF2" i="7"/>
  <c r="IG2" i="7"/>
  <c r="IH2" i="7"/>
  <c r="II2" i="7"/>
  <c r="IJ2" i="7"/>
  <c r="IK2" i="7"/>
  <c r="IL2" i="7"/>
  <c r="IM2" i="7"/>
  <c r="IN2" i="7"/>
  <c r="IO2" i="7"/>
  <c r="IP2" i="7"/>
  <c r="IQ2" i="7"/>
  <c r="IR2" i="7"/>
  <c r="IS2" i="7"/>
  <c r="IT2" i="7"/>
  <c r="IU2" i="7"/>
  <c r="IV2" i="7"/>
  <c r="A1" i="7"/>
  <c r="B1" i="7"/>
  <c r="C1" i="7"/>
  <c r="D1" i="7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AT1" i="7"/>
  <c r="AU1" i="7"/>
  <c r="AV1" i="7"/>
  <c r="AW1" i="7"/>
  <c r="AX1" i="7"/>
  <c r="AY1" i="7"/>
  <c r="AZ1" i="7"/>
  <c r="BA1" i="7"/>
  <c r="BB1" i="7"/>
  <c r="BC1" i="7"/>
  <c r="BD1" i="7"/>
  <c r="BE1" i="7"/>
  <c r="BF1" i="7"/>
  <c r="BG1" i="7"/>
  <c r="BH1" i="7"/>
  <c r="BI1" i="7"/>
  <c r="BJ1" i="7"/>
  <c r="BK1" i="7"/>
  <c r="BL1" i="7"/>
  <c r="BM1" i="7"/>
  <c r="BN1" i="7"/>
  <c r="BO1" i="7"/>
  <c r="BP1" i="7"/>
  <c r="BQ1" i="7"/>
  <c r="BR1" i="7"/>
  <c r="BS1" i="7"/>
  <c r="BT1" i="7"/>
  <c r="BU1" i="7"/>
  <c r="BV1" i="7"/>
  <c r="BW1" i="7"/>
  <c r="BX1" i="7"/>
  <c r="BY1" i="7"/>
  <c r="BZ1" i="7"/>
  <c r="CA1" i="7"/>
  <c r="CB1" i="7"/>
  <c r="CC1" i="7"/>
  <c r="CD1" i="7"/>
  <c r="CE1" i="7"/>
  <c r="CF1" i="7"/>
  <c r="CG1" i="7"/>
  <c r="CH1" i="7"/>
  <c r="CI1" i="7"/>
  <c r="CJ1" i="7"/>
  <c r="CK1" i="7"/>
  <c r="CL1" i="7"/>
  <c r="CM1" i="7"/>
  <c r="CN1" i="7"/>
  <c r="CO1" i="7"/>
  <c r="CP1" i="7"/>
  <c r="CQ1" i="7"/>
  <c r="CR1" i="7"/>
  <c r="CS1" i="7"/>
  <c r="CT1" i="7"/>
  <c r="CU1" i="7"/>
  <c r="CV1" i="7"/>
  <c r="CW1" i="7"/>
  <c r="CX1" i="7"/>
  <c r="CY1" i="7"/>
  <c r="CZ1" i="7"/>
  <c r="DA1" i="7"/>
  <c r="DB1" i="7"/>
  <c r="DC1" i="7"/>
  <c r="DD1" i="7"/>
  <c r="DE1" i="7"/>
  <c r="DF1" i="7"/>
  <c r="DG1" i="7"/>
  <c r="DH1" i="7"/>
  <c r="DI1" i="7"/>
  <c r="DJ1" i="7"/>
  <c r="DK1" i="7"/>
  <c r="DL1" i="7"/>
  <c r="DM1" i="7"/>
  <c r="DN1" i="7"/>
  <c r="DO1" i="7"/>
  <c r="DP1" i="7"/>
  <c r="DQ1" i="7"/>
  <c r="DR1" i="7"/>
  <c r="DS1" i="7"/>
  <c r="DT1" i="7"/>
  <c r="DU1" i="7"/>
  <c r="DV1" i="7"/>
  <c r="DW1" i="7"/>
  <c r="DX1" i="7"/>
  <c r="DY1" i="7"/>
  <c r="DZ1" i="7"/>
  <c r="EA1" i="7"/>
  <c r="EB1" i="7"/>
  <c r="EC1" i="7"/>
  <c r="ED1" i="7"/>
  <c r="EE1" i="7"/>
  <c r="EF1" i="7"/>
  <c r="EG1" i="7"/>
  <c r="EH1" i="7"/>
  <c r="EI1" i="7"/>
  <c r="EJ1" i="7"/>
  <c r="EK1" i="7"/>
  <c r="EL1" i="7"/>
  <c r="EM1" i="7"/>
  <c r="EN1" i="7"/>
  <c r="EO1" i="7"/>
  <c r="EP1" i="7"/>
  <c r="EQ1" i="7"/>
  <c r="ER1" i="7"/>
  <c r="ES1" i="7"/>
  <c r="ET1" i="7"/>
  <c r="EU1" i="7"/>
  <c r="EV1" i="7"/>
  <c r="EW1" i="7"/>
  <c r="EX1" i="7"/>
  <c r="EY1" i="7"/>
  <c r="EZ1" i="7"/>
  <c r="FA1" i="7"/>
  <c r="FB1" i="7"/>
  <c r="FC1" i="7"/>
  <c r="FD1" i="7"/>
  <c r="FE1" i="7"/>
  <c r="FF1" i="7"/>
  <c r="FG1" i="7"/>
  <c r="FH1" i="7"/>
  <c r="FI1" i="7"/>
  <c r="FJ1" i="7"/>
  <c r="FK1" i="7"/>
  <c r="FL1" i="7"/>
  <c r="FM1" i="7"/>
  <c r="FN1" i="7"/>
  <c r="FO1" i="7"/>
  <c r="FP1" i="7"/>
  <c r="FQ1" i="7"/>
  <c r="FR1" i="7"/>
  <c r="FS1" i="7"/>
  <c r="FT1" i="7"/>
  <c r="FU1" i="7"/>
  <c r="FV1" i="7"/>
  <c r="FW1" i="7"/>
  <c r="FX1" i="7"/>
  <c r="FY1" i="7"/>
  <c r="FZ1" i="7"/>
  <c r="GA1" i="7"/>
  <c r="GB1" i="7"/>
  <c r="GC1" i="7"/>
  <c r="GD1" i="7"/>
  <c r="GE1" i="7"/>
  <c r="GF1" i="7"/>
  <c r="GG1" i="7"/>
  <c r="GH1" i="7"/>
  <c r="GI1" i="7"/>
  <c r="GJ1" i="7"/>
  <c r="GK1" i="7"/>
  <c r="GL1" i="7"/>
  <c r="GM1" i="7"/>
  <c r="GN1" i="7"/>
  <c r="GO1" i="7"/>
  <c r="GP1" i="7"/>
  <c r="GQ1" i="7"/>
  <c r="GR1" i="7"/>
  <c r="GS1" i="7"/>
  <c r="GT1" i="7"/>
  <c r="GU1" i="7"/>
  <c r="GV1" i="7"/>
  <c r="GW1" i="7"/>
  <c r="GX1" i="7"/>
  <c r="GY1" i="7"/>
  <c r="GZ1" i="7"/>
  <c r="HA1" i="7"/>
  <c r="HB1" i="7"/>
  <c r="HC1" i="7"/>
  <c r="HD1" i="7"/>
  <c r="HE1" i="7"/>
  <c r="HF1" i="7"/>
  <c r="HG1" i="7"/>
  <c r="HH1" i="7"/>
  <c r="HI1" i="7"/>
  <c r="HJ1" i="7"/>
  <c r="HK1" i="7"/>
  <c r="HL1" i="7"/>
  <c r="HM1" i="7"/>
  <c r="HN1" i="7"/>
  <c r="HO1" i="7"/>
  <c r="HP1" i="7"/>
  <c r="HQ1" i="7"/>
  <c r="HR1" i="7"/>
  <c r="HS1" i="7"/>
  <c r="HT1" i="7"/>
  <c r="HU1" i="7"/>
  <c r="HV1" i="7"/>
  <c r="HW1" i="7"/>
  <c r="HX1" i="7"/>
  <c r="HY1" i="7"/>
  <c r="HZ1" i="7"/>
  <c r="IA1" i="7"/>
  <c r="IB1" i="7"/>
  <c r="IC1" i="7"/>
  <c r="ID1" i="7"/>
  <c r="IE1" i="7"/>
  <c r="IF1" i="7"/>
  <c r="IG1" i="7"/>
  <c r="IH1" i="7"/>
  <c r="II1" i="7"/>
  <c r="IJ1" i="7"/>
  <c r="IK1" i="7"/>
  <c r="IL1" i="7"/>
  <c r="IM1" i="7"/>
  <c r="IN1" i="7"/>
  <c r="IO1" i="7"/>
  <c r="IP1" i="7"/>
  <c r="IQ1" i="7"/>
  <c r="IR1" i="7"/>
  <c r="IS1" i="7"/>
  <c r="IT1" i="7"/>
  <c r="IU1" i="7"/>
  <c r="IV1" i="7"/>
</calcChain>
</file>

<file path=xl/sharedStrings.xml><?xml version="1.0" encoding="utf-8"?>
<sst xmlns="http://schemas.openxmlformats.org/spreadsheetml/2006/main" count="98" uniqueCount="92">
  <si>
    <t xml:space="preserve">Uno (1)  </t>
  </si>
  <si>
    <t>Cuatro (4)</t>
  </si>
  <si>
    <t>Dos (2)</t>
  </si>
  <si>
    <t>Excelente</t>
  </si>
  <si>
    <t>Bueno</t>
  </si>
  <si>
    <t>Regular</t>
  </si>
  <si>
    <t>Malo</t>
  </si>
  <si>
    <t>Ns/Nr</t>
  </si>
  <si>
    <t>I. Variables sociodemográficas:</t>
  </si>
  <si>
    <t xml:space="preserve">Más de 60 años </t>
  </si>
  <si>
    <t xml:space="preserve">Ocupación: </t>
  </si>
  <si>
    <t>Pensionado</t>
  </si>
  <si>
    <t>Empleado</t>
  </si>
  <si>
    <t>Ama de casa</t>
  </si>
  <si>
    <t xml:space="preserve">Género:  </t>
  </si>
  <si>
    <t>Cuéntenos cómo podemos mejorar nuestros servicios:</t>
  </si>
  <si>
    <t xml:space="preserve">Desempleado </t>
  </si>
  <si>
    <t xml:space="preserve">Masculino </t>
  </si>
  <si>
    <t>1. ¿Cómo califica la amabilidad, actitud y respeto de la persona que lo atendió?</t>
  </si>
  <si>
    <t>IV. Tiempo de espera</t>
  </si>
  <si>
    <t xml:space="preserve">V. Tiempo de atención </t>
  </si>
  <si>
    <t>¿Cuánto fue el tiempo de atención de su trámite o servicio ?</t>
  </si>
  <si>
    <t xml:space="preserve">Femenino </t>
  </si>
  <si>
    <t>2. ¿Cómo califica la calidad de la información y orientación brindada?</t>
  </si>
  <si>
    <t>¿Cuánto tiempo tuvo que esperar para ser atendido?</t>
  </si>
  <si>
    <t>Hasta 5 minutos</t>
  </si>
  <si>
    <t xml:space="preserve">Nombres y apellidos:  </t>
  </si>
  <si>
    <t>Independiente</t>
  </si>
  <si>
    <t>Estudiante</t>
  </si>
  <si>
    <t>VI.  Sugerencias y observaciones</t>
  </si>
  <si>
    <t>VII. Información para control SDHT</t>
  </si>
  <si>
    <t>AAAAAHe3co8=</t>
  </si>
  <si>
    <t>AAAAAHe3cpA=</t>
  </si>
  <si>
    <t xml:space="preserve">Rango de edad: </t>
  </si>
  <si>
    <t xml:space="preserve">Nivel educativo: </t>
  </si>
  <si>
    <t>Primaria completa</t>
  </si>
  <si>
    <t>Bachillerato incompleto</t>
  </si>
  <si>
    <t>Primaria incompleta</t>
  </si>
  <si>
    <t>Bachillerato completo</t>
  </si>
  <si>
    <t>Sin estudio</t>
  </si>
  <si>
    <t>Post-grado</t>
  </si>
  <si>
    <t>Técnico/Tecnólogo</t>
  </si>
  <si>
    <t>Universitario</t>
  </si>
  <si>
    <t xml:space="preserve">Punto de atención: </t>
  </si>
  <si>
    <t>Hora:</t>
  </si>
  <si>
    <t xml:space="preserve">Estrato socioeconómico:   </t>
  </si>
  <si>
    <t xml:space="preserve">Dirección: </t>
  </si>
  <si>
    <t xml:space="preserve">Encuesta realizada por : </t>
  </si>
  <si>
    <t>C.C:</t>
  </si>
  <si>
    <t>Teléfono:</t>
  </si>
  <si>
    <t xml:space="preserve">Teléfono: </t>
  </si>
  <si>
    <t>Datos opcionales del encuestado</t>
  </si>
  <si>
    <t>Queja</t>
  </si>
  <si>
    <t>Reclamo</t>
  </si>
  <si>
    <t>Masculino</t>
  </si>
  <si>
    <t xml:space="preserve">De 18 a 30 años </t>
  </si>
  <si>
    <t xml:space="preserve">De 31 a 59 años </t>
  </si>
  <si>
    <t>De 14 a 17 años</t>
  </si>
  <si>
    <t>Tres (3)</t>
  </si>
  <si>
    <t xml:space="preserve"> Cinco (5)</t>
  </si>
  <si>
    <t>Seis (6)</t>
  </si>
  <si>
    <t>Especialización</t>
  </si>
  <si>
    <t>Felicitación</t>
  </si>
  <si>
    <t>Redes Sociales</t>
  </si>
  <si>
    <t>Formato de Peticiones, Quejas, Reclamos y Sugerencias</t>
  </si>
  <si>
    <t xml:space="preserve">Sistema Distrital de Quejas y Soluciones </t>
  </si>
  <si>
    <t>II. Dimensiones de medición</t>
  </si>
  <si>
    <t>¿Porque medio genero el requerimiento?</t>
  </si>
  <si>
    <t xml:space="preserve">Entre 6 y 15 minutos </t>
  </si>
  <si>
    <t>Entre 16 y  25 minutos</t>
  </si>
  <si>
    <t>Entre 26 y hasta 35 minutos</t>
  </si>
  <si>
    <t xml:space="preserve">Entre 36 y 45 minutos </t>
  </si>
  <si>
    <t>Mas de 46 minutos</t>
  </si>
  <si>
    <t>Numero de requerimiento:</t>
  </si>
  <si>
    <t>Teléfono</t>
  </si>
  <si>
    <t>Presencial</t>
  </si>
  <si>
    <t xml:space="preserve">Fecha:   </t>
  </si>
  <si>
    <t>Escrito</t>
  </si>
  <si>
    <t>¿Qué tramite o Servicio motivó su visita?</t>
  </si>
  <si>
    <t>Correo Electrónico</t>
  </si>
  <si>
    <t>Categoría</t>
  </si>
  <si>
    <t>3. ¿Cómo califica la oportunidad y rapidez de la persona que lo atendió?</t>
  </si>
  <si>
    <t>Correo Electrónico:</t>
  </si>
  <si>
    <t>Evaluación del grado de satisfacción  
III. Calidad del Servicio</t>
  </si>
  <si>
    <t>Consulta</t>
  </si>
  <si>
    <t xml:space="preserve">Denuncias por Actos de Corrupción </t>
  </si>
  <si>
    <t xml:space="preserve">Sugerencia </t>
  </si>
  <si>
    <t>Chat</t>
  </si>
  <si>
    <t>Solicitud de Copia</t>
  </si>
  <si>
    <t>Solicitud Acceso a la Información</t>
  </si>
  <si>
    <t>Derecho de Petición de Interés General</t>
  </si>
  <si>
    <t>Derecho de Petición de Interés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</si>
</sst>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/>
    </xf>
    <xf numFmtId="0" fontId="1" fillId="2" borderId="29" xfId="0" applyFont="1" applyFill="1" applyBorder="1"/>
    <xf numFmtId="0" fontId="1" fillId="2" borderId="3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/>
    <xf numFmtId="0" fontId="1" fillId="2" borderId="34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0" fontId="1" fillId="2" borderId="22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justify" vertical="center" wrapText="1"/>
    </xf>
    <xf numFmtId="0" fontId="1" fillId="2" borderId="39" xfId="0" applyFont="1" applyFill="1" applyBorder="1" applyAlignment="1">
      <alignment horizontal="justify" vertical="center" wrapText="1"/>
    </xf>
    <xf numFmtId="0" fontId="1" fillId="2" borderId="40" xfId="0" applyFont="1" applyFill="1" applyBorder="1" applyAlignment="1">
      <alignment horizontal="justify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9</xdr:row>
      <xdr:rowOff>47625</xdr:rowOff>
    </xdr:from>
    <xdr:to>
      <xdr:col>2</xdr:col>
      <xdr:colOff>714375</xdr:colOff>
      <xdr:row>9</xdr:row>
      <xdr:rowOff>152400</xdr:rowOff>
    </xdr:to>
    <xdr:sp macro="" textlink="">
      <xdr:nvSpPr>
        <xdr:cNvPr id="1681" name="Rectangle 18">
          <a:extLst>
            <a:ext uri="{FF2B5EF4-FFF2-40B4-BE49-F238E27FC236}">
              <a16:creationId xmlns:a16="http://schemas.microsoft.com/office/drawing/2014/main" id="{3652F829-5F62-4099-B462-31BA11D659D4}"/>
            </a:ext>
          </a:extLst>
        </xdr:cNvPr>
        <xdr:cNvSpPr>
          <a:spLocks noChangeArrowheads="1"/>
        </xdr:cNvSpPr>
      </xdr:nvSpPr>
      <xdr:spPr bwMode="auto">
        <a:xfrm>
          <a:off x="2390775" y="217170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552450</xdr:colOff>
      <xdr:row>8</xdr:row>
      <xdr:rowOff>38100</xdr:rowOff>
    </xdr:from>
    <xdr:to>
      <xdr:col>2</xdr:col>
      <xdr:colOff>714375</xdr:colOff>
      <xdr:row>8</xdr:row>
      <xdr:rowOff>142875</xdr:rowOff>
    </xdr:to>
    <xdr:sp macro="" textlink="">
      <xdr:nvSpPr>
        <xdr:cNvPr id="1682" name="Rectangle 32">
          <a:extLst>
            <a:ext uri="{FF2B5EF4-FFF2-40B4-BE49-F238E27FC236}">
              <a16:creationId xmlns:a16="http://schemas.microsoft.com/office/drawing/2014/main" id="{CDCAA2A5-567B-4605-A88D-7559B6DE1231}"/>
            </a:ext>
          </a:extLst>
        </xdr:cNvPr>
        <xdr:cNvSpPr>
          <a:spLocks noChangeArrowheads="1"/>
        </xdr:cNvSpPr>
      </xdr:nvSpPr>
      <xdr:spPr bwMode="auto">
        <a:xfrm>
          <a:off x="2161117" y="1297517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2</xdr:row>
      <xdr:rowOff>38100</xdr:rowOff>
    </xdr:from>
    <xdr:to>
      <xdr:col>3</xdr:col>
      <xdr:colOff>495300</xdr:colOff>
      <xdr:row>2</xdr:row>
      <xdr:rowOff>142875</xdr:rowOff>
    </xdr:to>
    <xdr:sp macro="" textlink="">
      <xdr:nvSpPr>
        <xdr:cNvPr id="1683" name="Rectangle 18">
          <a:extLst>
            <a:ext uri="{FF2B5EF4-FFF2-40B4-BE49-F238E27FC236}">
              <a16:creationId xmlns:a16="http://schemas.microsoft.com/office/drawing/2014/main" id="{0A2EADCD-29D6-4866-A264-B207A5E5CD14}"/>
            </a:ext>
          </a:extLst>
        </xdr:cNvPr>
        <xdr:cNvSpPr>
          <a:spLocks noChangeArrowheads="1"/>
        </xdr:cNvSpPr>
      </xdr:nvSpPr>
      <xdr:spPr bwMode="auto">
        <a:xfrm>
          <a:off x="3019425" y="1019175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666750</xdr:colOff>
      <xdr:row>2</xdr:row>
      <xdr:rowOff>38100</xdr:rowOff>
    </xdr:from>
    <xdr:to>
      <xdr:col>5</xdr:col>
      <xdr:colOff>828675</xdr:colOff>
      <xdr:row>2</xdr:row>
      <xdr:rowOff>142875</xdr:rowOff>
    </xdr:to>
    <xdr:sp macro="" textlink="">
      <xdr:nvSpPr>
        <xdr:cNvPr id="1684" name="Rectangle 18">
          <a:extLst>
            <a:ext uri="{FF2B5EF4-FFF2-40B4-BE49-F238E27FC236}">
              <a16:creationId xmlns:a16="http://schemas.microsoft.com/office/drawing/2014/main" id="{E99427F4-46AD-47D9-A6F5-1BF69831EA39}"/>
            </a:ext>
          </a:extLst>
        </xdr:cNvPr>
        <xdr:cNvSpPr>
          <a:spLocks noChangeArrowheads="1"/>
        </xdr:cNvSpPr>
      </xdr:nvSpPr>
      <xdr:spPr bwMode="auto">
        <a:xfrm>
          <a:off x="5048250" y="1019175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504825</xdr:colOff>
      <xdr:row>8</xdr:row>
      <xdr:rowOff>38100</xdr:rowOff>
    </xdr:from>
    <xdr:to>
      <xdr:col>6</xdr:col>
      <xdr:colOff>666750</xdr:colOff>
      <xdr:row>8</xdr:row>
      <xdr:rowOff>142875</xdr:rowOff>
    </xdr:to>
    <xdr:sp macro="" textlink="">
      <xdr:nvSpPr>
        <xdr:cNvPr id="1685" name="Rectangle 32">
          <a:extLst>
            <a:ext uri="{FF2B5EF4-FFF2-40B4-BE49-F238E27FC236}">
              <a16:creationId xmlns:a16="http://schemas.microsoft.com/office/drawing/2014/main" id="{29CCBD67-8381-475B-8D18-495378B6CE55}"/>
            </a:ext>
          </a:extLst>
        </xdr:cNvPr>
        <xdr:cNvSpPr>
          <a:spLocks noChangeArrowheads="1"/>
        </xdr:cNvSpPr>
      </xdr:nvSpPr>
      <xdr:spPr bwMode="auto">
        <a:xfrm>
          <a:off x="5734050" y="200025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7</xdr:row>
      <xdr:rowOff>38100</xdr:rowOff>
    </xdr:from>
    <xdr:to>
      <xdr:col>6</xdr:col>
      <xdr:colOff>676275</xdr:colOff>
      <xdr:row>7</xdr:row>
      <xdr:rowOff>142875</xdr:rowOff>
    </xdr:to>
    <xdr:sp macro="" textlink="">
      <xdr:nvSpPr>
        <xdr:cNvPr id="1686" name="Rectangle 32">
          <a:extLst>
            <a:ext uri="{FF2B5EF4-FFF2-40B4-BE49-F238E27FC236}">
              <a16:creationId xmlns:a16="http://schemas.microsoft.com/office/drawing/2014/main" id="{90DEA5B7-84CC-44D4-9CC0-D0314EDEBEBE}"/>
            </a:ext>
          </a:extLst>
        </xdr:cNvPr>
        <xdr:cNvSpPr>
          <a:spLocks noChangeArrowheads="1"/>
        </xdr:cNvSpPr>
      </xdr:nvSpPr>
      <xdr:spPr bwMode="auto">
        <a:xfrm>
          <a:off x="5743575" y="1838325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552450</xdr:colOff>
      <xdr:row>10</xdr:row>
      <xdr:rowOff>38100</xdr:rowOff>
    </xdr:from>
    <xdr:to>
      <xdr:col>2</xdr:col>
      <xdr:colOff>714375</xdr:colOff>
      <xdr:row>10</xdr:row>
      <xdr:rowOff>142875</xdr:rowOff>
    </xdr:to>
    <xdr:sp macro="" textlink="">
      <xdr:nvSpPr>
        <xdr:cNvPr id="1687" name="Rectangle 18">
          <a:extLst>
            <a:ext uri="{FF2B5EF4-FFF2-40B4-BE49-F238E27FC236}">
              <a16:creationId xmlns:a16="http://schemas.microsoft.com/office/drawing/2014/main" id="{06E8EDE9-8D9E-4214-A79D-47B45D163F58}"/>
            </a:ext>
          </a:extLst>
        </xdr:cNvPr>
        <xdr:cNvSpPr>
          <a:spLocks noChangeArrowheads="1"/>
        </xdr:cNvSpPr>
      </xdr:nvSpPr>
      <xdr:spPr bwMode="auto">
        <a:xfrm>
          <a:off x="2390775" y="2352675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10</xdr:row>
      <xdr:rowOff>47625</xdr:rowOff>
    </xdr:from>
    <xdr:to>
      <xdr:col>4</xdr:col>
      <xdr:colOff>571500</xdr:colOff>
      <xdr:row>10</xdr:row>
      <xdr:rowOff>152400</xdr:rowOff>
    </xdr:to>
    <xdr:sp macro="" textlink="">
      <xdr:nvSpPr>
        <xdr:cNvPr id="1688" name="Rectangle 18">
          <a:extLst>
            <a:ext uri="{FF2B5EF4-FFF2-40B4-BE49-F238E27FC236}">
              <a16:creationId xmlns:a16="http://schemas.microsoft.com/office/drawing/2014/main" id="{96E6ABB4-9E6F-41EC-BEB9-78E4B66E831F}"/>
            </a:ext>
          </a:extLst>
        </xdr:cNvPr>
        <xdr:cNvSpPr>
          <a:spLocks noChangeArrowheads="1"/>
        </xdr:cNvSpPr>
      </xdr:nvSpPr>
      <xdr:spPr bwMode="auto">
        <a:xfrm>
          <a:off x="3943350" y="236220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9</xdr:row>
      <xdr:rowOff>47625</xdr:rowOff>
    </xdr:from>
    <xdr:to>
      <xdr:col>6</xdr:col>
      <xdr:colOff>676275</xdr:colOff>
      <xdr:row>9</xdr:row>
      <xdr:rowOff>152400</xdr:rowOff>
    </xdr:to>
    <xdr:sp macro="" textlink="">
      <xdr:nvSpPr>
        <xdr:cNvPr id="1689" name="Rectangle 18">
          <a:extLst>
            <a:ext uri="{FF2B5EF4-FFF2-40B4-BE49-F238E27FC236}">
              <a16:creationId xmlns:a16="http://schemas.microsoft.com/office/drawing/2014/main" id="{864F71CC-A786-4696-9623-99C88DCB824A}"/>
            </a:ext>
          </a:extLst>
        </xdr:cNvPr>
        <xdr:cNvSpPr>
          <a:spLocks noChangeArrowheads="1"/>
        </xdr:cNvSpPr>
      </xdr:nvSpPr>
      <xdr:spPr bwMode="auto">
        <a:xfrm>
          <a:off x="5743575" y="217170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552450</xdr:colOff>
      <xdr:row>11</xdr:row>
      <xdr:rowOff>28575</xdr:rowOff>
    </xdr:from>
    <xdr:to>
      <xdr:col>2</xdr:col>
      <xdr:colOff>714375</xdr:colOff>
      <xdr:row>11</xdr:row>
      <xdr:rowOff>133350</xdr:rowOff>
    </xdr:to>
    <xdr:sp macro="" textlink="">
      <xdr:nvSpPr>
        <xdr:cNvPr id="1690" name="Rectangle 18">
          <a:extLst>
            <a:ext uri="{FF2B5EF4-FFF2-40B4-BE49-F238E27FC236}">
              <a16:creationId xmlns:a16="http://schemas.microsoft.com/office/drawing/2014/main" id="{F0515DD9-3782-419F-88EA-E5038F1EF9F6}"/>
            </a:ext>
          </a:extLst>
        </xdr:cNvPr>
        <xdr:cNvSpPr>
          <a:spLocks noChangeArrowheads="1"/>
        </xdr:cNvSpPr>
      </xdr:nvSpPr>
      <xdr:spPr bwMode="auto">
        <a:xfrm>
          <a:off x="2161117" y="1795992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342900</xdr:colOff>
      <xdr:row>4</xdr:row>
      <xdr:rowOff>47625</xdr:rowOff>
    </xdr:from>
    <xdr:to>
      <xdr:col>3</xdr:col>
      <xdr:colOff>504825</xdr:colOff>
      <xdr:row>4</xdr:row>
      <xdr:rowOff>152400</xdr:rowOff>
    </xdr:to>
    <xdr:sp macro="" textlink="">
      <xdr:nvSpPr>
        <xdr:cNvPr id="1691" name="Rectangle 6">
          <a:extLst>
            <a:ext uri="{FF2B5EF4-FFF2-40B4-BE49-F238E27FC236}">
              <a16:creationId xmlns:a16="http://schemas.microsoft.com/office/drawing/2014/main" id="{65430408-072C-4C3A-9529-B9611BB502D4}"/>
            </a:ext>
          </a:extLst>
        </xdr:cNvPr>
        <xdr:cNvSpPr>
          <a:spLocks noChangeArrowheads="1"/>
        </xdr:cNvSpPr>
      </xdr:nvSpPr>
      <xdr:spPr bwMode="auto">
        <a:xfrm>
          <a:off x="3028950" y="135255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676275</xdr:colOff>
      <xdr:row>4</xdr:row>
      <xdr:rowOff>38100</xdr:rowOff>
    </xdr:from>
    <xdr:to>
      <xdr:col>5</xdr:col>
      <xdr:colOff>838200</xdr:colOff>
      <xdr:row>4</xdr:row>
      <xdr:rowOff>142875</xdr:rowOff>
    </xdr:to>
    <xdr:sp macro="" textlink="">
      <xdr:nvSpPr>
        <xdr:cNvPr id="1692" name="Rectangle 6">
          <a:extLst>
            <a:ext uri="{FF2B5EF4-FFF2-40B4-BE49-F238E27FC236}">
              <a16:creationId xmlns:a16="http://schemas.microsoft.com/office/drawing/2014/main" id="{9A95CEBE-F179-4326-B28A-68A0282D9BD5}"/>
            </a:ext>
          </a:extLst>
        </xdr:cNvPr>
        <xdr:cNvSpPr>
          <a:spLocks noChangeArrowheads="1"/>
        </xdr:cNvSpPr>
      </xdr:nvSpPr>
      <xdr:spPr bwMode="auto">
        <a:xfrm>
          <a:off x="5057775" y="1343025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11</xdr:row>
      <xdr:rowOff>28575</xdr:rowOff>
    </xdr:from>
    <xdr:to>
      <xdr:col>6</xdr:col>
      <xdr:colOff>676275</xdr:colOff>
      <xdr:row>11</xdr:row>
      <xdr:rowOff>133350</xdr:rowOff>
    </xdr:to>
    <xdr:sp macro="" textlink="">
      <xdr:nvSpPr>
        <xdr:cNvPr id="1693" name="Rectangle 18">
          <a:extLst>
            <a:ext uri="{FF2B5EF4-FFF2-40B4-BE49-F238E27FC236}">
              <a16:creationId xmlns:a16="http://schemas.microsoft.com/office/drawing/2014/main" id="{9EDEAE44-0B95-44D1-A235-A950DA293912}"/>
            </a:ext>
          </a:extLst>
        </xdr:cNvPr>
        <xdr:cNvSpPr>
          <a:spLocks noChangeArrowheads="1"/>
        </xdr:cNvSpPr>
      </xdr:nvSpPr>
      <xdr:spPr bwMode="auto">
        <a:xfrm>
          <a:off x="5743575" y="2505075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11</xdr:row>
      <xdr:rowOff>38100</xdr:rowOff>
    </xdr:from>
    <xdr:to>
      <xdr:col>4</xdr:col>
      <xdr:colOff>571500</xdr:colOff>
      <xdr:row>11</xdr:row>
      <xdr:rowOff>142875</xdr:rowOff>
    </xdr:to>
    <xdr:sp macro="" textlink="">
      <xdr:nvSpPr>
        <xdr:cNvPr id="1694" name="Rectangle 18">
          <a:extLst>
            <a:ext uri="{FF2B5EF4-FFF2-40B4-BE49-F238E27FC236}">
              <a16:creationId xmlns:a16="http://schemas.microsoft.com/office/drawing/2014/main" id="{26A7EE38-2C39-45DD-AF88-3BEB569521D8}"/>
            </a:ext>
          </a:extLst>
        </xdr:cNvPr>
        <xdr:cNvSpPr>
          <a:spLocks noChangeArrowheads="1"/>
        </xdr:cNvSpPr>
      </xdr:nvSpPr>
      <xdr:spPr bwMode="auto">
        <a:xfrm>
          <a:off x="3943350" y="251460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3</xdr:row>
      <xdr:rowOff>28575</xdr:rowOff>
    </xdr:from>
    <xdr:to>
      <xdr:col>3</xdr:col>
      <xdr:colOff>495300</xdr:colOff>
      <xdr:row>3</xdr:row>
      <xdr:rowOff>133350</xdr:rowOff>
    </xdr:to>
    <xdr:sp macro="" textlink="">
      <xdr:nvSpPr>
        <xdr:cNvPr id="1699" name="Rectangle 6">
          <a:extLst>
            <a:ext uri="{FF2B5EF4-FFF2-40B4-BE49-F238E27FC236}">
              <a16:creationId xmlns:a16="http://schemas.microsoft.com/office/drawing/2014/main" id="{C8AAC23B-B05D-4C6E-8E31-B77C8EAB219A}"/>
            </a:ext>
          </a:extLst>
        </xdr:cNvPr>
        <xdr:cNvSpPr>
          <a:spLocks noChangeArrowheads="1"/>
        </xdr:cNvSpPr>
      </xdr:nvSpPr>
      <xdr:spPr bwMode="auto">
        <a:xfrm>
          <a:off x="3019425" y="1171575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666750</xdr:colOff>
      <xdr:row>3</xdr:row>
      <xdr:rowOff>19050</xdr:rowOff>
    </xdr:from>
    <xdr:to>
      <xdr:col>5</xdr:col>
      <xdr:colOff>828675</xdr:colOff>
      <xdr:row>3</xdr:row>
      <xdr:rowOff>123825</xdr:rowOff>
    </xdr:to>
    <xdr:sp macro="" textlink="">
      <xdr:nvSpPr>
        <xdr:cNvPr id="1700" name="Rectangle 6">
          <a:extLst>
            <a:ext uri="{FF2B5EF4-FFF2-40B4-BE49-F238E27FC236}">
              <a16:creationId xmlns:a16="http://schemas.microsoft.com/office/drawing/2014/main" id="{4B3E5269-6766-4296-8C31-7D5AF62B1FBD}"/>
            </a:ext>
          </a:extLst>
        </xdr:cNvPr>
        <xdr:cNvSpPr>
          <a:spLocks noChangeArrowheads="1"/>
        </xdr:cNvSpPr>
      </xdr:nvSpPr>
      <xdr:spPr bwMode="auto">
        <a:xfrm>
          <a:off x="5048250" y="116205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704850</xdr:colOff>
      <xdr:row>7</xdr:row>
      <xdr:rowOff>142875</xdr:rowOff>
    </xdr:to>
    <xdr:sp macro="" textlink="">
      <xdr:nvSpPr>
        <xdr:cNvPr id="1701" name="Rectangle 32">
          <a:extLst>
            <a:ext uri="{FF2B5EF4-FFF2-40B4-BE49-F238E27FC236}">
              <a16:creationId xmlns:a16="http://schemas.microsoft.com/office/drawing/2014/main" id="{CEC743CB-21ED-4629-8F4D-B09F148E27E9}"/>
            </a:ext>
          </a:extLst>
        </xdr:cNvPr>
        <xdr:cNvSpPr>
          <a:spLocks noChangeArrowheads="1"/>
        </xdr:cNvSpPr>
      </xdr:nvSpPr>
      <xdr:spPr bwMode="auto">
        <a:xfrm>
          <a:off x="2151592" y="1138767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400050</xdr:colOff>
      <xdr:row>7</xdr:row>
      <xdr:rowOff>28575</xdr:rowOff>
    </xdr:from>
    <xdr:to>
      <xdr:col>4</xdr:col>
      <xdr:colOff>561975</xdr:colOff>
      <xdr:row>7</xdr:row>
      <xdr:rowOff>133350</xdr:rowOff>
    </xdr:to>
    <xdr:sp macro="" textlink="">
      <xdr:nvSpPr>
        <xdr:cNvPr id="1702" name="Rectangle 32">
          <a:extLst>
            <a:ext uri="{FF2B5EF4-FFF2-40B4-BE49-F238E27FC236}">
              <a16:creationId xmlns:a16="http://schemas.microsoft.com/office/drawing/2014/main" id="{E183C65E-439C-4621-B820-9126739B29E7}"/>
            </a:ext>
          </a:extLst>
        </xdr:cNvPr>
        <xdr:cNvSpPr>
          <a:spLocks noChangeArrowheads="1"/>
        </xdr:cNvSpPr>
      </xdr:nvSpPr>
      <xdr:spPr bwMode="auto">
        <a:xfrm>
          <a:off x="3933825" y="182880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400050</xdr:colOff>
      <xdr:row>8</xdr:row>
      <xdr:rowOff>28575</xdr:rowOff>
    </xdr:from>
    <xdr:to>
      <xdr:col>4</xdr:col>
      <xdr:colOff>561975</xdr:colOff>
      <xdr:row>8</xdr:row>
      <xdr:rowOff>133350</xdr:rowOff>
    </xdr:to>
    <xdr:sp macro="" textlink="">
      <xdr:nvSpPr>
        <xdr:cNvPr id="1703" name="Rectangle 32">
          <a:extLst>
            <a:ext uri="{FF2B5EF4-FFF2-40B4-BE49-F238E27FC236}">
              <a16:creationId xmlns:a16="http://schemas.microsoft.com/office/drawing/2014/main" id="{17A8C939-0502-401E-87EC-E6667AEB2DE9}"/>
            </a:ext>
          </a:extLst>
        </xdr:cNvPr>
        <xdr:cNvSpPr>
          <a:spLocks noChangeArrowheads="1"/>
        </xdr:cNvSpPr>
      </xdr:nvSpPr>
      <xdr:spPr bwMode="auto">
        <a:xfrm>
          <a:off x="3933825" y="1990725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9</xdr:row>
      <xdr:rowOff>47625</xdr:rowOff>
    </xdr:from>
    <xdr:to>
      <xdr:col>4</xdr:col>
      <xdr:colOff>571500</xdr:colOff>
      <xdr:row>9</xdr:row>
      <xdr:rowOff>152400</xdr:rowOff>
    </xdr:to>
    <xdr:sp macro="" textlink="">
      <xdr:nvSpPr>
        <xdr:cNvPr id="1704" name="Rectangle 18">
          <a:extLst>
            <a:ext uri="{FF2B5EF4-FFF2-40B4-BE49-F238E27FC236}">
              <a16:creationId xmlns:a16="http://schemas.microsoft.com/office/drawing/2014/main" id="{9279BEFF-7A21-4A7E-A89A-35FBD3B1B745}"/>
            </a:ext>
          </a:extLst>
        </xdr:cNvPr>
        <xdr:cNvSpPr>
          <a:spLocks noChangeArrowheads="1"/>
        </xdr:cNvSpPr>
      </xdr:nvSpPr>
      <xdr:spPr bwMode="auto">
        <a:xfrm>
          <a:off x="3943350" y="217170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10</xdr:row>
      <xdr:rowOff>28575</xdr:rowOff>
    </xdr:from>
    <xdr:to>
      <xdr:col>6</xdr:col>
      <xdr:colOff>676275</xdr:colOff>
      <xdr:row>10</xdr:row>
      <xdr:rowOff>133350</xdr:rowOff>
    </xdr:to>
    <xdr:sp macro="" textlink="">
      <xdr:nvSpPr>
        <xdr:cNvPr id="1705" name="Rectangle 18">
          <a:extLst>
            <a:ext uri="{FF2B5EF4-FFF2-40B4-BE49-F238E27FC236}">
              <a16:creationId xmlns:a16="http://schemas.microsoft.com/office/drawing/2014/main" id="{2FCFDB51-5F90-432D-915D-BAF1A8574431}"/>
            </a:ext>
          </a:extLst>
        </xdr:cNvPr>
        <xdr:cNvSpPr>
          <a:spLocks noChangeArrowheads="1"/>
        </xdr:cNvSpPr>
      </xdr:nvSpPr>
      <xdr:spPr bwMode="auto">
        <a:xfrm>
          <a:off x="5743575" y="234315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206377</xdr:colOff>
      <xdr:row>14</xdr:row>
      <xdr:rowOff>28576</xdr:rowOff>
    </xdr:from>
    <xdr:to>
      <xdr:col>3</xdr:col>
      <xdr:colOff>391585</xdr:colOff>
      <xdr:row>14</xdr:row>
      <xdr:rowOff>105834</xdr:rowOff>
    </xdr:to>
    <xdr:sp macro="" textlink="">
      <xdr:nvSpPr>
        <xdr:cNvPr id="1711" name="Rectangle 18">
          <a:extLst>
            <a:ext uri="{FF2B5EF4-FFF2-40B4-BE49-F238E27FC236}">
              <a16:creationId xmlns:a16="http://schemas.microsoft.com/office/drawing/2014/main" id="{C2C80E7D-42C3-4AC6-95A4-9FBD9827C14F}"/>
            </a:ext>
          </a:extLst>
        </xdr:cNvPr>
        <xdr:cNvSpPr>
          <a:spLocks noChangeArrowheads="1"/>
        </xdr:cNvSpPr>
      </xdr:nvSpPr>
      <xdr:spPr bwMode="auto">
        <a:xfrm>
          <a:off x="2714627" y="2251076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533400</xdr:colOff>
      <xdr:row>5</xdr:row>
      <xdr:rowOff>19050</xdr:rowOff>
    </xdr:from>
    <xdr:to>
      <xdr:col>2</xdr:col>
      <xdr:colOff>695325</xdr:colOff>
      <xdr:row>5</xdr:row>
      <xdr:rowOff>123825</xdr:rowOff>
    </xdr:to>
    <xdr:sp macro="" textlink="">
      <xdr:nvSpPr>
        <xdr:cNvPr id="1715" name="Rectangle 32">
          <a:extLst>
            <a:ext uri="{FF2B5EF4-FFF2-40B4-BE49-F238E27FC236}">
              <a16:creationId xmlns:a16="http://schemas.microsoft.com/office/drawing/2014/main" id="{9537DAB2-605B-4086-B05D-B27325446BF5}"/>
            </a:ext>
          </a:extLst>
        </xdr:cNvPr>
        <xdr:cNvSpPr>
          <a:spLocks noChangeArrowheads="1"/>
        </xdr:cNvSpPr>
      </xdr:nvSpPr>
      <xdr:spPr bwMode="auto">
        <a:xfrm>
          <a:off x="2371725" y="148590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533400</xdr:colOff>
      <xdr:row>6</xdr:row>
      <xdr:rowOff>28575</xdr:rowOff>
    </xdr:from>
    <xdr:to>
      <xdr:col>2</xdr:col>
      <xdr:colOff>695325</xdr:colOff>
      <xdr:row>6</xdr:row>
      <xdr:rowOff>133350</xdr:rowOff>
    </xdr:to>
    <xdr:sp macro="" textlink="">
      <xdr:nvSpPr>
        <xdr:cNvPr id="1716" name="Rectangle 32">
          <a:extLst>
            <a:ext uri="{FF2B5EF4-FFF2-40B4-BE49-F238E27FC236}">
              <a16:creationId xmlns:a16="http://schemas.microsoft.com/office/drawing/2014/main" id="{AE9E45B4-3358-4D74-97C7-AF91E63646C9}"/>
            </a:ext>
          </a:extLst>
        </xdr:cNvPr>
        <xdr:cNvSpPr>
          <a:spLocks noChangeArrowheads="1"/>
        </xdr:cNvSpPr>
      </xdr:nvSpPr>
      <xdr:spPr bwMode="auto">
        <a:xfrm>
          <a:off x="2142067" y="959908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5</xdr:row>
      <xdr:rowOff>47625</xdr:rowOff>
    </xdr:from>
    <xdr:to>
      <xdr:col>4</xdr:col>
      <xdr:colOff>552450</xdr:colOff>
      <xdr:row>5</xdr:row>
      <xdr:rowOff>152400</xdr:rowOff>
    </xdr:to>
    <xdr:sp macro="" textlink="">
      <xdr:nvSpPr>
        <xdr:cNvPr id="1717" name="Rectangle 32">
          <a:extLst>
            <a:ext uri="{FF2B5EF4-FFF2-40B4-BE49-F238E27FC236}">
              <a16:creationId xmlns:a16="http://schemas.microsoft.com/office/drawing/2014/main" id="{C6A0F9F4-2D2F-41F8-8EB2-C8ADF8E8021C}"/>
            </a:ext>
          </a:extLst>
        </xdr:cNvPr>
        <xdr:cNvSpPr>
          <a:spLocks noChangeArrowheads="1"/>
        </xdr:cNvSpPr>
      </xdr:nvSpPr>
      <xdr:spPr bwMode="auto">
        <a:xfrm>
          <a:off x="3924300" y="1514475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6</xdr:row>
      <xdr:rowOff>47625</xdr:rowOff>
    </xdr:from>
    <xdr:to>
      <xdr:col>4</xdr:col>
      <xdr:colOff>552450</xdr:colOff>
      <xdr:row>6</xdr:row>
      <xdr:rowOff>152400</xdr:rowOff>
    </xdr:to>
    <xdr:sp macro="" textlink="">
      <xdr:nvSpPr>
        <xdr:cNvPr id="1718" name="Rectangle 32">
          <a:extLst>
            <a:ext uri="{FF2B5EF4-FFF2-40B4-BE49-F238E27FC236}">
              <a16:creationId xmlns:a16="http://schemas.microsoft.com/office/drawing/2014/main" id="{3F7F2657-3C2A-443D-BBBB-E9BDFDC8161D}"/>
            </a:ext>
          </a:extLst>
        </xdr:cNvPr>
        <xdr:cNvSpPr>
          <a:spLocks noChangeArrowheads="1"/>
        </xdr:cNvSpPr>
      </xdr:nvSpPr>
      <xdr:spPr bwMode="auto">
        <a:xfrm>
          <a:off x="3924300" y="167640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6</xdr:row>
      <xdr:rowOff>28575</xdr:rowOff>
    </xdr:from>
    <xdr:to>
      <xdr:col>6</xdr:col>
      <xdr:colOff>676275</xdr:colOff>
      <xdr:row>6</xdr:row>
      <xdr:rowOff>133350</xdr:rowOff>
    </xdr:to>
    <xdr:sp macro="" textlink="">
      <xdr:nvSpPr>
        <xdr:cNvPr id="1719" name="Rectangle 32">
          <a:extLst>
            <a:ext uri="{FF2B5EF4-FFF2-40B4-BE49-F238E27FC236}">
              <a16:creationId xmlns:a16="http://schemas.microsoft.com/office/drawing/2014/main" id="{C7681063-576B-478D-8CAF-68C8A9179F47}"/>
            </a:ext>
          </a:extLst>
        </xdr:cNvPr>
        <xdr:cNvSpPr>
          <a:spLocks noChangeArrowheads="1"/>
        </xdr:cNvSpPr>
      </xdr:nvSpPr>
      <xdr:spPr bwMode="auto">
        <a:xfrm>
          <a:off x="5743575" y="1657350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504825</xdr:colOff>
      <xdr:row>5</xdr:row>
      <xdr:rowOff>28575</xdr:rowOff>
    </xdr:from>
    <xdr:to>
      <xdr:col>6</xdr:col>
      <xdr:colOff>666750</xdr:colOff>
      <xdr:row>5</xdr:row>
      <xdr:rowOff>133350</xdr:rowOff>
    </xdr:to>
    <xdr:sp macro="" textlink="">
      <xdr:nvSpPr>
        <xdr:cNvPr id="1720" name="Rectangle 32">
          <a:extLst>
            <a:ext uri="{FF2B5EF4-FFF2-40B4-BE49-F238E27FC236}">
              <a16:creationId xmlns:a16="http://schemas.microsoft.com/office/drawing/2014/main" id="{5A237158-2FBB-40E8-B6D8-9116935EC63C}"/>
            </a:ext>
          </a:extLst>
        </xdr:cNvPr>
        <xdr:cNvSpPr>
          <a:spLocks noChangeArrowheads="1"/>
        </xdr:cNvSpPr>
      </xdr:nvSpPr>
      <xdr:spPr bwMode="auto">
        <a:xfrm>
          <a:off x="5734050" y="1495425"/>
          <a:ext cx="1619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210610</xdr:colOff>
      <xdr:row>15</xdr:row>
      <xdr:rowOff>32809</xdr:rowOff>
    </xdr:from>
    <xdr:to>
      <xdr:col>3</xdr:col>
      <xdr:colOff>395818</xdr:colOff>
      <xdr:row>15</xdr:row>
      <xdr:rowOff>110067</xdr:rowOff>
    </xdr:to>
    <xdr:sp macro="" textlink="">
      <xdr:nvSpPr>
        <xdr:cNvPr id="42" name="Rectangle 18">
          <a:extLst>
            <a:ext uri="{FF2B5EF4-FFF2-40B4-BE49-F238E27FC236}">
              <a16:creationId xmlns:a16="http://schemas.microsoft.com/office/drawing/2014/main" id="{E185F7DA-0F64-495C-A301-83F7AA6084E1}"/>
            </a:ext>
          </a:extLst>
        </xdr:cNvPr>
        <xdr:cNvSpPr>
          <a:spLocks noChangeArrowheads="1"/>
        </xdr:cNvSpPr>
      </xdr:nvSpPr>
      <xdr:spPr bwMode="auto">
        <a:xfrm>
          <a:off x="2718860" y="2403476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214845</xdr:colOff>
      <xdr:row>16</xdr:row>
      <xdr:rowOff>37043</xdr:rowOff>
    </xdr:from>
    <xdr:to>
      <xdr:col>3</xdr:col>
      <xdr:colOff>402166</xdr:colOff>
      <xdr:row>16</xdr:row>
      <xdr:rowOff>116417</xdr:rowOff>
    </xdr:to>
    <xdr:sp macro="" textlink="">
      <xdr:nvSpPr>
        <xdr:cNvPr id="43" name="Rectangle 18">
          <a:extLst>
            <a:ext uri="{FF2B5EF4-FFF2-40B4-BE49-F238E27FC236}">
              <a16:creationId xmlns:a16="http://schemas.microsoft.com/office/drawing/2014/main" id="{57C3AC43-2EFB-409F-B63E-494EF9D49BFD}"/>
            </a:ext>
          </a:extLst>
        </xdr:cNvPr>
        <xdr:cNvSpPr>
          <a:spLocks noChangeArrowheads="1"/>
        </xdr:cNvSpPr>
      </xdr:nvSpPr>
      <xdr:spPr bwMode="auto">
        <a:xfrm>
          <a:off x="2723095" y="2555876"/>
          <a:ext cx="187321" cy="79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208496</xdr:colOff>
      <xdr:row>17</xdr:row>
      <xdr:rowOff>41276</xdr:rowOff>
    </xdr:from>
    <xdr:to>
      <xdr:col>3</xdr:col>
      <xdr:colOff>393704</xdr:colOff>
      <xdr:row>17</xdr:row>
      <xdr:rowOff>118534</xdr:rowOff>
    </xdr:to>
    <xdr:sp macro="" textlink="">
      <xdr:nvSpPr>
        <xdr:cNvPr id="44" name="Rectangle 18">
          <a:extLst>
            <a:ext uri="{FF2B5EF4-FFF2-40B4-BE49-F238E27FC236}">
              <a16:creationId xmlns:a16="http://schemas.microsoft.com/office/drawing/2014/main" id="{D09148C1-6398-45BD-8DE4-D452109E56D6}"/>
            </a:ext>
          </a:extLst>
        </xdr:cNvPr>
        <xdr:cNvSpPr>
          <a:spLocks noChangeArrowheads="1"/>
        </xdr:cNvSpPr>
      </xdr:nvSpPr>
      <xdr:spPr bwMode="auto">
        <a:xfrm>
          <a:off x="2716746" y="2708276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212732</xdr:colOff>
      <xdr:row>18</xdr:row>
      <xdr:rowOff>34926</xdr:rowOff>
    </xdr:from>
    <xdr:to>
      <xdr:col>3</xdr:col>
      <xdr:colOff>397940</xdr:colOff>
      <xdr:row>18</xdr:row>
      <xdr:rowOff>112184</xdr:rowOff>
    </xdr:to>
    <xdr:sp macro="" textlink="">
      <xdr:nvSpPr>
        <xdr:cNvPr id="45" name="Rectangle 18">
          <a:extLst>
            <a:ext uri="{FF2B5EF4-FFF2-40B4-BE49-F238E27FC236}">
              <a16:creationId xmlns:a16="http://schemas.microsoft.com/office/drawing/2014/main" id="{ED488D40-35E9-458A-AE74-D936522A39D9}"/>
            </a:ext>
          </a:extLst>
        </xdr:cNvPr>
        <xdr:cNvSpPr>
          <a:spLocks noChangeArrowheads="1"/>
        </xdr:cNvSpPr>
      </xdr:nvSpPr>
      <xdr:spPr bwMode="auto">
        <a:xfrm>
          <a:off x="2720982" y="2850093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206382</xdr:colOff>
      <xdr:row>19</xdr:row>
      <xdr:rowOff>39160</xdr:rowOff>
    </xdr:from>
    <xdr:to>
      <xdr:col>3</xdr:col>
      <xdr:colOff>391590</xdr:colOff>
      <xdr:row>19</xdr:row>
      <xdr:rowOff>116418</xdr:rowOff>
    </xdr:to>
    <xdr:sp macro="" textlink="">
      <xdr:nvSpPr>
        <xdr:cNvPr id="46" name="Rectangle 18">
          <a:extLst>
            <a:ext uri="{FF2B5EF4-FFF2-40B4-BE49-F238E27FC236}">
              <a16:creationId xmlns:a16="http://schemas.microsoft.com/office/drawing/2014/main" id="{1F9D6C7A-5208-4660-886E-D85A70EF8671}"/>
            </a:ext>
          </a:extLst>
        </xdr:cNvPr>
        <xdr:cNvSpPr>
          <a:spLocks noChangeArrowheads="1"/>
        </xdr:cNvSpPr>
      </xdr:nvSpPr>
      <xdr:spPr bwMode="auto">
        <a:xfrm>
          <a:off x="2714632" y="3002493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210615</xdr:colOff>
      <xdr:row>20</xdr:row>
      <xdr:rowOff>53976</xdr:rowOff>
    </xdr:from>
    <xdr:to>
      <xdr:col>3</xdr:col>
      <xdr:colOff>395823</xdr:colOff>
      <xdr:row>20</xdr:row>
      <xdr:rowOff>131234</xdr:rowOff>
    </xdr:to>
    <xdr:sp macro="" textlink="">
      <xdr:nvSpPr>
        <xdr:cNvPr id="47" name="Rectangle 18">
          <a:extLst>
            <a:ext uri="{FF2B5EF4-FFF2-40B4-BE49-F238E27FC236}">
              <a16:creationId xmlns:a16="http://schemas.microsoft.com/office/drawing/2014/main" id="{E579358C-CBF2-4A43-9E85-38C693FB67D9}"/>
            </a:ext>
          </a:extLst>
        </xdr:cNvPr>
        <xdr:cNvSpPr>
          <a:spLocks noChangeArrowheads="1"/>
        </xdr:cNvSpPr>
      </xdr:nvSpPr>
      <xdr:spPr bwMode="auto">
        <a:xfrm>
          <a:off x="2718865" y="3165476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214849</xdr:colOff>
      <xdr:row>21</xdr:row>
      <xdr:rowOff>47626</xdr:rowOff>
    </xdr:from>
    <xdr:to>
      <xdr:col>3</xdr:col>
      <xdr:colOff>400057</xdr:colOff>
      <xdr:row>21</xdr:row>
      <xdr:rowOff>124884</xdr:rowOff>
    </xdr:to>
    <xdr:sp macro="" textlink="">
      <xdr:nvSpPr>
        <xdr:cNvPr id="48" name="Rectangle 18">
          <a:extLst>
            <a:ext uri="{FF2B5EF4-FFF2-40B4-BE49-F238E27FC236}">
              <a16:creationId xmlns:a16="http://schemas.microsoft.com/office/drawing/2014/main" id="{2869AFDB-CB4A-404F-90F6-D570A47324BD}"/>
            </a:ext>
          </a:extLst>
        </xdr:cNvPr>
        <xdr:cNvSpPr>
          <a:spLocks noChangeArrowheads="1"/>
        </xdr:cNvSpPr>
      </xdr:nvSpPr>
      <xdr:spPr bwMode="auto">
        <a:xfrm>
          <a:off x="2723099" y="3307293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208499</xdr:colOff>
      <xdr:row>22</xdr:row>
      <xdr:rowOff>41277</xdr:rowOff>
    </xdr:from>
    <xdr:to>
      <xdr:col>3</xdr:col>
      <xdr:colOff>393707</xdr:colOff>
      <xdr:row>22</xdr:row>
      <xdr:rowOff>118535</xdr:rowOff>
    </xdr:to>
    <xdr:sp macro="" textlink="">
      <xdr:nvSpPr>
        <xdr:cNvPr id="49" name="Rectangle 18">
          <a:extLst>
            <a:ext uri="{FF2B5EF4-FFF2-40B4-BE49-F238E27FC236}">
              <a16:creationId xmlns:a16="http://schemas.microsoft.com/office/drawing/2014/main" id="{2F6F9637-8751-4BDE-B0D2-2E10253F8D60}"/>
            </a:ext>
          </a:extLst>
        </xdr:cNvPr>
        <xdr:cNvSpPr>
          <a:spLocks noChangeArrowheads="1"/>
        </xdr:cNvSpPr>
      </xdr:nvSpPr>
      <xdr:spPr bwMode="auto">
        <a:xfrm>
          <a:off x="2716749" y="3449110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212737</xdr:colOff>
      <xdr:row>23</xdr:row>
      <xdr:rowOff>45510</xdr:rowOff>
    </xdr:from>
    <xdr:to>
      <xdr:col>3</xdr:col>
      <xdr:colOff>397945</xdr:colOff>
      <xdr:row>23</xdr:row>
      <xdr:rowOff>122768</xdr:rowOff>
    </xdr:to>
    <xdr:sp macro="" textlink="">
      <xdr:nvSpPr>
        <xdr:cNvPr id="50" name="Rectangle 18">
          <a:extLst>
            <a:ext uri="{FF2B5EF4-FFF2-40B4-BE49-F238E27FC236}">
              <a16:creationId xmlns:a16="http://schemas.microsoft.com/office/drawing/2014/main" id="{DE8FF7B2-FA9D-46D1-8CAA-FCF4F2D13D3F}"/>
            </a:ext>
          </a:extLst>
        </xdr:cNvPr>
        <xdr:cNvSpPr>
          <a:spLocks noChangeArrowheads="1"/>
        </xdr:cNvSpPr>
      </xdr:nvSpPr>
      <xdr:spPr bwMode="auto">
        <a:xfrm>
          <a:off x="2720987" y="3601510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464610</xdr:colOff>
      <xdr:row>14</xdr:row>
      <xdr:rowOff>22226</xdr:rowOff>
    </xdr:from>
    <xdr:to>
      <xdr:col>7</xdr:col>
      <xdr:colOff>649818</xdr:colOff>
      <xdr:row>14</xdr:row>
      <xdr:rowOff>99484</xdr:rowOff>
    </xdr:to>
    <xdr:sp macro="" textlink="">
      <xdr:nvSpPr>
        <xdr:cNvPr id="51" name="Rectangle 18">
          <a:extLst>
            <a:ext uri="{FF2B5EF4-FFF2-40B4-BE49-F238E27FC236}">
              <a16:creationId xmlns:a16="http://schemas.microsoft.com/office/drawing/2014/main" id="{F0710D52-A7B0-4E41-B540-5507D22934BC}"/>
            </a:ext>
          </a:extLst>
        </xdr:cNvPr>
        <xdr:cNvSpPr>
          <a:spLocks noChangeArrowheads="1"/>
        </xdr:cNvSpPr>
      </xdr:nvSpPr>
      <xdr:spPr bwMode="auto">
        <a:xfrm>
          <a:off x="6581777" y="2244726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468843</xdr:colOff>
      <xdr:row>15</xdr:row>
      <xdr:rowOff>26459</xdr:rowOff>
    </xdr:from>
    <xdr:to>
      <xdr:col>7</xdr:col>
      <xdr:colOff>654051</xdr:colOff>
      <xdr:row>15</xdr:row>
      <xdr:rowOff>103717</xdr:rowOff>
    </xdr:to>
    <xdr:sp macro="" textlink="">
      <xdr:nvSpPr>
        <xdr:cNvPr id="52" name="Rectangle 18">
          <a:extLst>
            <a:ext uri="{FF2B5EF4-FFF2-40B4-BE49-F238E27FC236}">
              <a16:creationId xmlns:a16="http://schemas.microsoft.com/office/drawing/2014/main" id="{837BB2EE-4D29-46EC-B1EA-BCA7C0396D75}"/>
            </a:ext>
          </a:extLst>
        </xdr:cNvPr>
        <xdr:cNvSpPr>
          <a:spLocks noChangeArrowheads="1"/>
        </xdr:cNvSpPr>
      </xdr:nvSpPr>
      <xdr:spPr bwMode="auto">
        <a:xfrm>
          <a:off x="6586010" y="2397126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473078</xdr:colOff>
      <xdr:row>16</xdr:row>
      <xdr:rowOff>30693</xdr:rowOff>
    </xdr:from>
    <xdr:to>
      <xdr:col>7</xdr:col>
      <xdr:colOff>660399</xdr:colOff>
      <xdr:row>16</xdr:row>
      <xdr:rowOff>110067</xdr:rowOff>
    </xdr:to>
    <xdr:sp macro="" textlink="">
      <xdr:nvSpPr>
        <xdr:cNvPr id="53" name="Rectangle 18">
          <a:extLst>
            <a:ext uri="{FF2B5EF4-FFF2-40B4-BE49-F238E27FC236}">
              <a16:creationId xmlns:a16="http://schemas.microsoft.com/office/drawing/2014/main" id="{8BE9F6F0-EE40-4F60-86D3-9EAF041B1937}"/>
            </a:ext>
          </a:extLst>
        </xdr:cNvPr>
        <xdr:cNvSpPr>
          <a:spLocks noChangeArrowheads="1"/>
        </xdr:cNvSpPr>
      </xdr:nvSpPr>
      <xdr:spPr bwMode="auto">
        <a:xfrm>
          <a:off x="6590245" y="2549526"/>
          <a:ext cx="187321" cy="79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477312</xdr:colOff>
      <xdr:row>17</xdr:row>
      <xdr:rowOff>34926</xdr:rowOff>
    </xdr:from>
    <xdr:to>
      <xdr:col>7</xdr:col>
      <xdr:colOff>662520</xdr:colOff>
      <xdr:row>17</xdr:row>
      <xdr:rowOff>112184</xdr:rowOff>
    </xdr:to>
    <xdr:sp macro="" textlink="">
      <xdr:nvSpPr>
        <xdr:cNvPr id="54" name="Rectangle 18">
          <a:extLst>
            <a:ext uri="{FF2B5EF4-FFF2-40B4-BE49-F238E27FC236}">
              <a16:creationId xmlns:a16="http://schemas.microsoft.com/office/drawing/2014/main" id="{8AFE3AD9-BD8B-486E-8306-1079E92C4836}"/>
            </a:ext>
          </a:extLst>
        </xdr:cNvPr>
        <xdr:cNvSpPr>
          <a:spLocks noChangeArrowheads="1"/>
        </xdr:cNvSpPr>
      </xdr:nvSpPr>
      <xdr:spPr bwMode="auto">
        <a:xfrm>
          <a:off x="6594479" y="2701926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481548</xdr:colOff>
      <xdr:row>18</xdr:row>
      <xdr:rowOff>28576</xdr:rowOff>
    </xdr:from>
    <xdr:to>
      <xdr:col>7</xdr:col>
      <xdr:colOff>666756</xdr:colOff>
      <xdr:row>18</xdr:row>
      <xdr:rowOff>105834</xdr:rowOff>
    </xdr:to>
    <xdr:sp macro="" textlink="">
      <xdr:nvSpPr>
        <xdr:cNvPr id="55" name="Rectangle 18">
          <a:extLst>
            <a:ext uri="{FF2B5EF4-FFF2-40B4-BE49-F238E27FC236}">
              <a16:creationId xmlns:a16="http://schemas.microsoft.com/office/drawing/2014/main" id="{EE1A2243-DA7A-4DC1-80F1-22C9E87589C7}"/>
            </a:ext>
          </a:extLst>
        </xdr:cNvPr>
        <xdr:cNvSpPr>
          <a:spLocks noChangeArrowheads="1"/>
        </xdr:cNvSpPr>
      </xdr:nvSpPr>
      <xdr:spPr bwMode="auto">
        <a:xfrm>
          <a:off x="6598715" y="2843743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475198</xdr:colOff>
      <xdr:row>19</xdr:row>
      <xdr:rowOff>32810</xdr:rowOff>
    </xdr:from>
    <xdr:to>
      <xdr:col>7</xdr:col>
      <xdr:colOff>660406</xdr:colOff>
      <xdr:row>19</xdr:row>
      <xdr:rowOff>110068</xdr:rowOff>
    </xdr:to>
    <xdr:sp macro="" textlink="">
      <xdr:nvSpPr>
        <xdr:cNvPr id="56" name="Rectangle 18">
          <a:extLst>
            <a:ext uri="{FF2B5EF4-FFF2-40B4-BE49-F238E27FC236}">
              <a16:creationId xmlns:a16="http://schemas.microsoft.com/office/drawing/2014/main" id="{CBAAE69F-D8D8-4377-B1FC-94E695D33B5E}"/>
            </a:ext>
          </a:extLst>
        </xdr:cNvPr>
        <xdr:cNvSpPr>
          <a:spLocks noChangeArrowheads="1"/>
        </xdr:cNvSpPr>
      </xdr:nvSpPr>
      <xdr:spPr bwMode="auto">
        <a:xfrm>
          <a:off x="6592365" y="2996143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479431</xdr:colOff>
      <xdr:row>20</xdr:row>
      <xdr:rowOff>37043</xdr:rowOff>
    </xdr:from>
    <xdr:to>
      <xdr:col>7</xdr:col>
      <xdr:colOff>664639</xdr:colOff>
      <xdr:row>20</xdr:row>
      <xdr:rowOff>114301</xdr:rowOff>
    </xdr:to>
    <xdr:sp macro="" textlink="">
      <xdr:nvSpPr>
        <xdr:cNvPr id="57" name="Rectangle 18">
          <a:extLst>
            <a:ext uri="{FF2B5EF4-FFF2-40B4-BE49-F238E27FC236}">
              <a16:creationId xmlns:a16="http://schemas.microsoft.com/office/drawing/2014/main" id="{20BEA4D3-A5E3-4C48-86E1-DECFA994570E}"/>
            </a:ext>
          </a:extLst>
        </xdr:cNvPr>
        <xdr:cNvSpPr>
          <a:spLocks noChangeArrowheads="1"/>
        </xdr:cNvSpPr>
      </xdr:nvSpPr>
      <xdr:spPr bwMode="auto">
        <a:xfrm>
          <a:off x="6596598" y="3148543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483665</xdr:colOff>
      <xdr:row>21</xdr:row>
      <xdr:rowOff>30693</xdr:rowOff>
    </xdr:from>
    <xdr:to>
      <xdr:col>7</xdr:col>
      <xdr:colOff>668873</xdr:colOff>
      <xdr:row>21</xdr:row>
      <xdr:rowOff>107951</xdr:rowOff>
    </xdr:to>
    <xdr:sp macro="" textlink="">
      <xdr:nvSpPr>
        <xdr:cNvPr id="58" name="Rectangle 18">
          <a:extLst>
            <a:ext uri="{FF2B5EF4-FFF2-40B4-BE49-F238E27FC236}">
              <a16:creationId xmlns:a16="http://schemas.microsoft.com/office/drawing/2014/main" id="{B0F16B6E-2861-46CF-AA8F-071595BC719E}"/>
            </a:ext>
          </a:extLst>
        </xdr:cNvPr>
        <xdr:cNvSpPr>
          <a:spLocks noChangeArrowheads="1"/>
        </xdr:cNvSpPr>
      </xdr:nvSpPr>
      <xdr:spPr bwMode="auto">
        <a:xfrm>
          <a:off x="6600832" y="3290360"/>
          <a:ext cx="185208" cy="77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51"/>
  <sheetViews>
    <sheetView tabSelected="1" view="pageLayout" zoomScale="70" zoomScaleNormal="100" zoomScaleSheetLayoutView="100" zoomScalePageLayoutView="70" workbookViewId="0"/>
  </sheetViews>
  <sheetFormatPr baseColWidth="10" defaultColWidth="11.42578125" defaultRowHeight="12" x14ac:dyDescent="0.2"/>
  <cols>
    <col min="1" max="1" width="16.5703125" style="3" customWidth="1"/>
    <col min="2" max="2" width="6.42578125" style="3" customWidth="1"/>
    <col min="3" max="6" width="12.7109375" style="3" customWidth="1"/>
    <col min="7" max="7" width="12.85546875" style="3" customWidth="1"/>
    <col min="8" max="8" width="12.7109375" style="3" customWidth="1"/>
    <col min="9" max="9" width="38.7109375" style="3" customWidth="1"/>
    <col min="10" max="16384" width="11.42578125" style="3"/>
  </cols>
  <sheetData>
    <row r="1" spans="1:9" s="8" customFormat="1" x14ac:dyDescent="0.2">
      <c r="A1" s="53" t="s">
        <v>43</v>
      </c>
      <c r="B1" s="89"/>
      <c r="C1" s="89"/>
      <c r="D1" s="89"/>
      <c r="E1" s="90"/>
      <c r="F1" s="73" t="s">
        <v>76</v>
      </c>
      <c r="G1" s="73"/>
      <c r="H1" s="18" t="s">
        <v>44</v>
      </c>
      <c r="I1" s="1"/>
    </row>
    <row r="2" spans="1:9" x14ac:dyDescent="0.2">
      <c r="A2" s="56" t="s">
        <v>8</v>
      </c>
      <c r="B2" s="57"/>
      <c r="C2" s="57"/>
      <c r="D2" s="57"/>
      <c r="E2" s="57"/>
      <c r="F2" s="57"/>
      <c r="G2" s="57"/>
      <c r="H2" s="58"/>
      <c r="I2" s="2"/>
    </row>
    <row r="3" spans="1:9" s="8" customFormat="1" ht="12.75" customHeight="1" x14ac:dyDescent="0.2">
      <c r="A3" s="42" t="s">
        <v>14</v>
      </c>
      <c r="B3" s="91" t="s">
        <v>22</v>
      </c>
      <c r="C3" s="91"/>
      <c r="D3" s="91"/>
      <c r="E3" s="59" t="s">
        <v>54</v>
      </c>
      <c r="F3" s="60" t="s">
        <v>17</v>
      </c>
      <c r="G3" s="60"/>
      <c r="H3" s="61"/>
      <c r="I3" s="1"/>
    </row>
    <row r="4" spans="1:9" ht="12.75" customHeight="1" x14ac:dyDescent="0.2">
      <c r="A4" s="66" t="s">
        <v>33</v>
      </c>
      <c r="B4" s="62" t="s">
        <v>57</v>
      </c>
      <c r="C4" s="63"/>
      <c r="D4" s="64"/>
      <c r="E4" s="43" t="s">
        <v>56</v>
      </c>
      <c r="F4" s="44"/>
      <c r="G4" s="44"/>
      <c r="H4" s="45"/>
      <c r="I4" s="2"/>
    </row>
    <row r="5" spans="1:9" ht="12.75" customHeight="1" x14ac:dyDescent="0.2">
      <c r="A5" s="69"/>
      <c r="B5" s="62" t="s">
        <v>55</v>
      </c>
      <c r="C5" s="63"/>
      <c r="D5" s="64"/>
      <c r="E5" s="62" t="s">
        <v>9</v>
      </c>
      <c r="F5" s="63"/>
      <c r="G5" s="63"/>
      <c r="H5" s="65"/>
      <c r="I5" s="2"/>
    </row>
    <row r="6" spans="1:9" ht="12.75" customHeight="1" x14ac:dyDescent="0.2">
      <c r="A6" s="66" t="s">
        <v>45</v>
      </c>
      <c r="B6" s="70" t="s">
        <v>0</v>
      </c>
      <c r="C6" s="70"/>
      <c r="D6" s="70" t="s">
        <v>58</v>
      </c>
      <c r="E6" s="70"/>
      <c r="F6" s="62" t="s">
        <v>59</v>
      </c>
      <c r="G6" s="63"/>
      <c r="H6" s="65"/>
      <c r="I6" s="2"/>
    </row>
    <row r="7" spans="1:9" ht="13.5" customHeight="1" x14ac:dyDescent="0.2">
      <c r="A7" s="69"/>
      <c r="B7" s="70" t="s">
        <v>2</v>
      </c>
      <c r="C7" s="70"/>
      <c r="D7" s="70" t="s">
        <v>1</v>
      </c>
      <c r="E7" s="70"/>
      <c r="F7" s="62" t="s">
        <v>60</v>
      </c>
      <c r="G7" s="63"/>
      <c r="H7" s="65"/>
      <c r="I7" s="2"/>
    </row>
    <row r="8" spans="1:9" ht="12.75" customHeight="1" x14ac:dyDescent="0.2">
      <c r="A8" s="66" t="s">
        <v>34</v>
      </c>
      <c r="B8" s="70" t="s">
        <v>35</v>
      </c>
      <c r="C8" s="70"/>
      <c r="D8" s="71" t="s">
        <v>36</v>
      </c>
      <c r="E8" s="72"/>
      <c r="F8" s="62" t="s">
        <v>40</v>
      </c>
      <c r="G8" s="63"/>
      <c r="H8" s="65"/>
      <c r="I8" s="92"/>
    </row>
    <row r="9" spans="1:9" ht="12.75" customHeight="1" x14ac:dyDescent="0.2">
      <c r="A9" s="68"/>
      <c r="B9" s="62" t="s">
        <v>37</v>
      </c>
      <c r="C9" s="64"/>
      <c r="D9" s="71" t="s">
        <v>41</v>
      </c>
      <c r="E9" s="72"/>
      <c r="F9" s="3" t="s">
        <v>61</v>
      </c>
      <c r="H9" s="41"/>
      <c r="I9" s="92"/>
    </row>
    <row r="10" spans="1:9" ht="15" customHeight="1" x14ac:dyDescent="0.2">
      <c r="A10" s="69"/>
      <c r="B10" s="71" t="s">
        <v>38</v>
      </c>
      <c r="C10" s="72"/>
      <c r="D10" s="62" t="s">
        <v>42</v>
      </c>
      <c r="E10" s="64"/>
      <c r="F10" s="62" t="s">
        <v>39</v>
      </c>
      <c r="G10" s="63"/>
      <c r="H10" s="65"/>
      <c r="I10" s="92"/>
    </row>
    <row r="11" spans="1:9" ht="12.75" customHeight="1" x14ac:dyDescent="0.2">
      <c r="A11" s="66" t="s">
        <v>10</v>
      </c>
      <c r="B11" s="70" t="s">
        <v>12</v>
      </c>
      <c r="C11" s="70"/>
      <c r="D11" s="43" t="s">
        <v>13</v>
      </c>
      <c r="E11" s="32"/>
      <c r="F11" s="43" t="s">
        <v>28</v>
      </c>
      <c r="G11" s="44"/>
      <c r="H11" s="45"/>
      <c r="I11" s="2"/>
    </row>
    <row r="12" spans="1:9" ht="12.75" customHeight="1" x14ac:dyDescent="0.2">
      <c r="A12" s="67"/>
      <c r="B12" s="70" t="s">
        <v>11</v>
      </c>
      <c r="C12" s="70"/>
      <c r="D12" s="43" t="s">
        <v>16</v>
      </c>
      <c r="E12" s="44"/>
      <c r="F12" s="70" t="s">
        <v>27</v>
      </c>
      <c r="G12" s="70"/>
      <c r="H12" s="93"/>
      <c r="I12" s="2"/>
    </row>
    <row r="13" spans="1:9" ht="12" customHeight="1" x14ac:dyDescent="0.2">
      <c r="A13" s="83" t="s">
        <v>66</v>
      </c>
      <c r="B13" s="84"/>
      <c r="C13" s="84"/>
      <c r="D13" s="84"/>
      <c r="E13" s="84"/>
      <c r="F13" s="84"/>
      <c r="G13" s="84"/>
      <c r="H13" s="85"/>
      <c r="I13" s="2"/>
    </row>
    <row r="14" spans="1:9" ht="12" customHeight="1" x14ac:dyDescent="0.2">
      <c r="A14" s="80" t="s">
        <v>78</v>
      </c>
      <c r="B14" s="81"/>
      <c r="C14" s="81"/>
      <c r="D14" s="82"/>
      <c r="E14" s="86" t="s">
        <v>67</v>
      </c>
      <c r="F14" s="87"/>
      <c r="G14" s="87"/>
      <c r="H14" s="88"/>
      <c r="I14" s="2"/>
    </row>
    <row r="15" spans="1:9" ht="12" customHeight="1" x14ac:dyDescent="0.2">
      <c r="A15" s="77" t="s">
        <v>84</v>
      </c>
      <c r="B15" s="63"/>
      <c r="C15" s="63"/>
      <c r="D15" s="65"/>
      <c r="E15" s="62" t="s">
        <v>79</v>
      </c>
      <c r="F15" s="63"/>
      <c r="G15" s="63"/>
      <c r="H15" s="65"/>
      <c r="I15" s="6"/>
    </row>
    <row r="16" spans="1:9" ht="12" customHeight="1" x14ac:dyDescent="0.2">
      <c r="A16" s="77" t="s">
        <v>85</v>
      </c>
      <c r="B16" s="63"/>
      <c r="C16" s="63"/>
      <c r="D16" s="65"/>
      <c r="E16" s="62" t="s">
        <v>63</v>
      </c>
      <c r="F16" s="63"/>
      <c r="G16" s="63"/>
      <c r="H16" s="65"/>
      <c r="I16" s="92"/>
    </row>
    <row r="17" spans="1:9" ht="12" customHeight="1" x14ac:dyDescent="0.2">
      <c r="A17" s="77" t="s">
        <v>90</v>
      </c>
      <c r="B17" s="63"/>
      <c r="C17" s="63"/>
      <c r="D17" s="65"/>
      <c r="E17" s="62" t="s">
        <v>64</v>
      </c>
      <c r="F17" s="63"/>
      <c r="G17" s="63"/>
      <c r="H17" s="65"/>
      <c r="I17" s="92"/>
    </row>
    <row r="18" spans="1:9" ht="12" customHeight="1" x14ac:dyDescent="0.2">
      <c r="A18" s="77" t="s">
        <v>91</v>
      </c>
      <c r="B18" s="63"/>
      <c r="C18" s="63"/>
      <c r="D18" s="65"/>
      <c r="E18" s="62" t="s">
        <v>65</v>
      </c>
      <c r="F18" s="63"/>
      <c r="G18" s="63"/>
      <c r="H18" s="65"/>
      <c r="I18" s="92"/>
    </row>
    <row r="19" spans="1:9" ht="12" customHeight="1" x14ac:dyDescent="0.2">
      <c r="A19" s="77" t="s">
        <v>62</v>
      </c>
      <c r="B19" s="63"/>
      <c r="C19" s="63"/>
      <c r="D19" s="65"/>
      <c r="E19" s="62" t="s">
        <v>77</v>
      </c>
      <c r="F19" s="63"/>
      <c r="G19" s="63"/>
      <c r="H19" s="65"/>
      <c r="I19" s="92"/>
    </row>
    <row r="20" spans="1:9" ht="12" customHeight="1" x14ac:dyDescent="0.2">
      <c r="A20" s="54" t="s">
        <v>52</v>
      </c>
      <c r="B20" s="44"/>
      <c r="C20" s="44"/>
      <c r="D20" s="45"/>
      <c r="E20" s="43" t="s">
        <v>75</v>
      </c>
      <c r="F20" s="44"/>
      <c r="G20" s="44"/>
      <c r="H20" s="45"/>
      <c r="I20" s="6"/>
    </row>
    <row r="21" spans="1:9" ht="12" customHeight="1" x14ac:dyDescent="0.2">
      <c r="A21" s="54" t="s">
        <v>53</v>
      </c>
      <c r="B21" s="44"/>
      <c r="C21" s="44"/>
      <c r="D21" s="45"/>
      <c r="E21" s="43" t="s">
        <v>74</v>
      </c>
      <c r="F21" s="44"/>
      <c r="G21" s="44"/>
      <c r="H21" s="45"/>
      <c r="I21" s="6"/>
    </row>
    <row r="22" spans="1:9" ht="12" customHeight="1" x14ac:dyDescent="0.2">
      <c r="A22" s="77" t="s">
        <v>89</v>
      </c>
      <c r="B22" s="63"/>
      <c r="C22" s="63"/>
      <c r="D22" s="65"/>
      <c r="E22" s="43" t="s">
        <v>87</v>
      </c>
      <c r="F22" s="44"/>
      <c r="G22" s="44"/>
      <c r="H22" s="45"/>
      <c r="I22" s="6"/>
    </row>
    <row r="23" spans="1:9" ht="12" customHeight="1" x14ac:dyDescent="0.2">
      <c r="A23" s="77" t="s">
        <v>88</v>
      </c>
      <c r="B23" s="63"/>
      <c r="C23" s="63"/>
      <c r="D23" s="65"/>
      <c r="E23" s="43"/>
      <c r="F23" s="44"/>
      <c r="G23" s="44"/>
      <c r="H23" s="45"/>
      <c r="I23" s="6"/>
    </row>
    <row r="24" spans="1:9" ht="12.75" customHeight="1" x14ac:dyDescent="0.2">
      <c r="A24" s="50" t="s">
        <v>86</v>
      </c>
      <c r="E24" s="55"/>
      <c r="F24" s="44"/>
      <c r="G24" s="44"/>
      <c r="H24" s="45"/>
      <c r="I24" s="6"/>
    </row>
    <row r="25" spans="1:9" x14ac:dyDescent="0.2">
      <c r="A25" s="83" t="s">
        <v>83</v>
      </c>
      <c r="B25" s="96"/>
      <c r="C25" s="96"/>
      <c r="D25" s="96"/>
      <c r="E25" s="96"/>
      <c r="F25" s="96"/>
      <c r="G25" s="96"/>
      <c r="H25" s="97"/>
    </row>
    <row r="26" spans="1:9" x14ac:dyDescent="0.2">
      <c r="A26" s="98"/>
      <c r="B26" s="99"/>
      <c r="C26" s="99"/>
      <c r="D26" s="99"/>
      <c r="E26" s="99"/>
      <c r="F26" s="99"/>
      <c r="G26" s="99"/>
      <c r="H26" s="100"/>
    </row>
    <row r="27" spans="1:9" x14ac:dyDescent="0.2">
      <c r="A27" s="78" t="s">
        <v>80</v>
      </c>
      <c r="B27" s="79"/>
      <c r="C27" s="79"/>
      <c r="D27" s="47" t="s">
        <v>3</v>
      </c>
      <c r="E27" s="47" t="s">
        <v>4</v>
      </c>
      <c r="F27" s="47" t="s">
        <v>5</v>
      </c>
      <c r="G27" s="47" t="s">
        <v>6</v>
      </c>
      <c r="H27" s="9" t="s">
        <v>7</v>
      </c>
    </row>
    <row r="28" spans="1:9" ht="26.25" customHeight="1" x14ac:dyDescent="0.2">
      <c r="A28" s="74" t="s">
        <v>18</v>
      </c>
      <c r="B28" s="75"/>
      <c r="C28" s="76"/>
      <c r="D28" s="4"/>
      <c r="E28" s="4"/>
      <c r="F28" s="4"/>
      <c r="G28" s="4"/>
      <c r="H28" s="10"/>
    </row>
    <row r="29" spans="1:9" s="6" customFormat="1" ht="26.1" customHeight="1" x14ac:dyDescent="0.2">
      <c r="A29" s="74" t="s">
        <v>23</v>
      </c>
      <c r="B29" s="75"/>
      <c r="C29" s="76"/>
      <c r="D29" s="5"/>
      <c r="E29" s="5"/>
      <c r="F29" s="5"/>
      <c r="G29" s="5"/>
      <c r="H29" s="11"/>
    </row>
    <row r="30" spans="1:9" s="7" customFormat="1" ht="26.1" customHeight="1" x14ac:dyDescent="0.2">
      <c r="A30" s="111" t="s">
        <v>81</v>
      </c>
      <c r="B30" s="112"/>
      <c r="C30" s="113"/>
      <c r="D30" s="12"/>
      <c r="E30" s="12"/>
      <c r="F30" s="12"/>
      <c r="G30" s="12"/>
      <c r="H30" s="13"/>
    </row>
    <row r="31" spans="1:9" x14ac:dyDescent="0.2">
      <c r="A31" s="101" t="s">
        <v>19</v>
      </c>
      <c r="B31" s="102"/>
      <c r="C31" s="102"/>
      <c r="D31" s="102"/>
      <c r="E31" s="102"/>
      <c r="F31" s="102"/>
      <c r="G31" s="102"/>
      <c r="H31" s="103"/>
    </row>
    <row r="32" spans="1:9" ht="12.75" customHeight="1" x14ac:dyDescent="0.2">
      <c r="A32" s="108" t="s">
        <v>24</v>
      </c>
      <c r="B32" s="109"/>
      <c r="C32" s="109"/>
      <c r="D32" s="109"/>
      <c r="E32" s="109"/>
      <c r="F32" s="109"/>
      <c r="G32" s="109"/>
      <c r="H32" s="110"/>
    </row>
    <row r="33" spans="1:9" s="8" customFormat="1" ht="14.25" customHeight="1" x14ac:dyDescent="0.2">
      <c r="A33" s="94" t="s">
        <v>25</v>
      </c>
      <c r="B33" s="95"/>
      <c r="C33" s="104" t="s">
        <v>68</v>
      </c>
      <c r="D33" s="104"/>
      <c r="E33" s="105" t="s">
        <v>69</v>
      </c>
      <c r="F33" s="106"/>
      <c r="G33" s="106"/>
      <c r="H33" s="107"/>
    </row>
    <row r="34" spans="1:9" ht="15.75" customHeight="1" x14ac:dyDescent="0.2">
      <c r="A34" s="123" t="s">
        <v>70</v>
      </c>
      <c r="B34" s="124"/>
      <c r="C34" s="125" t="s">
        <v>71</v>
      </c>
      <c r="D34" s="125"/>
      <c r="E34" s="120" t="s">
        <v>72</v>
      </c>
      <c r="F34" s="121"/>
      <c r="G34" s="121"/>
      <c r="H34" s="122"/>
    </row>
    <row r="35" spans="1:9" x14ac:dyDescent="0.2">
      <c r="A35" s="101" t="s">
        <v>20</v>
      </c>
      <c r="B35" s="102"/>
      <c r="C35" s="102"/>
      <c r="D35" s="102"/>
      <c r="E35" s="102"/>
      <c r="F35" s="102"/>
      <c r="G35" s="102"/>
      <c r="H35" s="103"/>
    </row>
    <row r="36" spans="1:9" ht="12.75" customHeight="1" x14ac:dyDescent="0.2">
      <c r="A36" s="108" t="s">
        <v>21</v>
      </c>
      <c r="B36" s="109"/>
      <c r="C36" s="109"/>
      <c r="D36" s="109"/>
      <c r="E36" s="109"/>
      <c r="F36" s="109"/>
      <c r="G36" s="109"/>
      <c r="H36" s="110"/>
    </row>
    <row r="37" spans="1:9" s="8" customFormat="1" ht="15.75" customHeight="1" x14ac:dyDescent="0.2">
      <c r="A37" s="94" t="s">
        <v>25</v>
      </c>
      <c r="B37" s="95"/>
      <c r="C37" s="104" t="s">
        <v>68</v>
      </c>
      <c r="D37" s="104"/>
      <c r="E37" s="105" t="s">
        <v>69</v>
      </c>
      <c r="F37" s="106"/>
      <c r="G37" s="106"/>
      <c r="H37" s="107"/>
    </row>
    <row r="38" spans="1:9" ht="16.5" customHeight="1" x14ac:dyDescent="0.2">
      <c r="A38" s="123" t="s">
        <v>70</v>
      </c>
      <c r="B38" s="124"/>
      <c r="C38" s="125" t="s">
        <v>71</v>
      </c>
      <c r="D38" s="125"/>
      <c r="E38" s="120" t="s">
        <v>72</v>
      </c>
      <c r="F38" s="121"/>
      <c r="G38" s="121"/>
      <c r="H38" s="122"/>
    </row>
    <row r="39" spans="1:9" x14ac:dyDescent="0.2">
      <c r="A39" s="129" t="s">
        <v>29</v>
      </c>
      <c r="B39" s="130"/>
      <c r="C39" s="130"/>
      <c r="D39" s="130"/>
      <c r="E39" s="130"/>
      <c r="F39" s="130"/>
      <c r="G39" s="130"/>
      <c r="H39" s="131"/>
    </row>
    <row r="40" spans="1:9" ht="26.25" customHeight="1" x14ac:dyDescent="0.2">
      <c r="A40" s="116" t="s">
        <v>15</v>
      </c>
      <c r="B40" s="117"/>
      <c r="C40" s="117"/>
      <c r="D40" s="33"/>
      <c r="E40" s="33"/>
      <c r="F40" s="33"/>
      <c r="G40" s="33"/>
      <c r="H40" s="34"/>
    </row>
    <row r="41" spans="1:9" ht="22.5" customHeight="1" x14ac:dyDescent="0.2">
      <c r="A41" s="35"/>
      <c r="B41" s="36"/>
      <c r="C41" s="36"/>
      <c r="D41" s="28"/>
      <c r="E41" s="28"/>
      <c r="F41" s="28"/>
      <c r="G41" s="28"/>
      <c r="H41" s="37"/>
    </row>
    <row r="42" spans="1:9" ht="22.5" customHeight="1" x14ac:dyDescent="0.2">
      <c r="A42" s="35"/>
      <c r="B42" s="36"/>
      <c r="C42" s="36"/>
      <c r="D42" s="28"/>
      <c r="E42" s="28"/>
      <c r="F42" s="28"/>
      <c r="G42" s="28"/>
      <c r="H42" s="37"/>
    </row>
    <row r="43" spans="1:9" ht="21.75" customHeight="1" x14ac:dyDescent="0.2">
      <c r="A43" s="38"/>
      <c r="B43" s="28"/>
      <c r="C43" s="28"/>
      <c r="D43" s="28"/>
      <c r="E43" s="28"/>
      <c r="F43" s="28"/>
      <c r="G43" s="28"/>
      <c r="H43" s="37"/>
    </row>
    <row r="44" spans="1:9" ht="24.75" customHeight="1" x14ac:dyDescent="0.2">
      <c r="A44" s="14"/>
      <c r="B44" s="15"/>
      <c r="C44" s="15"/>
      <c r="D44" s="15"/>
      <c r="E44" s="15"/>
      <c r="F44" s="15"/>
      <c r="G44" s="15"/>
      <c r="H44" s="16"/>
    </row>
    <row r="45" spans="1:9" x14ac:dyDescent="0.2">
      <c r="A45" s="29" t="s">
        <v>30</v>
      </c>
      <c r="B45" s="30"/>
      <c r="C45" s="30"/>
      <c r="D45" s="30"/>
      <c r="E45" s="30"/>
      <c r="F45" s="30"/>
      <c r="G45" s="30"/>
      <c r="H45" s="31"/>
    </row>
    <row r="46" spans="1:9" x14ac:dyDescent="0.2">
      <c r="A46" s="25" t="s">
        <v>51</v>
      </c>
      <c r="B46" s="26"/>
      <c r="C46" s="26"/>
      <c r="D46" s="26"/>
      <c r="E46" s="26"/>
      <c r="F46" s="26"/>
      <c r="G46" s="26"/>
      <c r="H46" s="27"/>
    </row>
    <row r="47" spans="1:9" ht="27.75" customHeight="1" x14ac:dyDescent="0.2">
      <c r="A47" s="19" t="s">
        <v>26</v>
      </c>
      <c r="B47" s="48"/>
      <c r="C47" s="48"/>
      <c r="D47" s="48"/>
      <c r="E47" s="48"/>
      <c r="F47" s="40"/>
      <c r="G47" s="105" t="s">
        <v>48</v>
      </c>
      <c r="H47" s="107"/>
      <c r="I47" s="2"/>
    </row>
    <row r="48" spans="1:9" ht="19.5" customHeight="1" x14ac:dyDescent="0.2">
      <c r="A48" s="20" t="s">
        <v>46</v>
      </c>
      <c r="B48" s="49"/>
      <c r="C48" s="49"/>
      <c r="D48" s="49"/>
      <c r="E48" s="39"/>
      <c r="F48" s="21" t="s">
        <v>49</v>
      </c>
      <c r="G48" s="118"/>
      <c r="H48" s="119"/>
      <c r="I48" s="2"/>
    </row>
    <row r="49" spans="1:9" ht="29.25" customHeight="1" x14ac:dyDescent="0.2">
      <c r="A49" s="20" t="s">
        <v>82</v>
      </c>
      <c r="B49" s="49"/>
      <c r="C49" s="49"/>
      <c r="D49" s="49"/>
      <c r="E49" s="39"/>
      <c r="F49" s="126" t="s">
        <v>73</v>
      </c>
      <c r="G49" s="127"/>
      <c r="H49" s="128"/>
      <c r="I49" s="2"/>
    </row>
    <row r="50" spans="1:9" ht="2.25" customHeight="1" x14ac:dyDescent="0.2">
      <c r="A50" s="51"/>
      <c r="B50" s="17"/>
      <c r="C50" s="17"/>
      <c r="D50" s="17"/>
      <c r="E50" s="17"/>
      <c r="F50" s="8"/>
      <c r="G50" s="17"/>
      <c r="H50" s="52"/>
      <c r="I50" s="2"/>
    </row>
    <row r="51" spans="1:9" ht="27.75" customHeight="1" x14ac:dyDescent="0.2">
      <c r="A51" s="23" t="s">
        <v>47</v>
      </c>
      <c r="B51" s="46"/>
      <c r="C51" s="46"/>
      <c r="D51" s="46"/>
      <c r="E51" s="24"/>
      <c r="F51" s="22" t="s">
        <v>50</v>
      </c>
      <c r="G51" s="114"/>
      <c r="H51" s="115"/>
      <c r="I51" s="2"/>
    </row>
  </sheetData>
  <mergeCells count="73">
    <mergeCell ref="E34:H34"/>
    <mergeCell ref="A37:B37"/>
    <mergeCell ref="C37:D37"/>
    <mergeCell ref="A35:H35"/>
    <mergeCell ref="A36:H36"/>
    <mergeCell ref="E37:H37"/>
    <mergeCell ref="A34:B34"/>
    <mergeCell ref="C34:D34"/>
    <mergeCell ref="G51:H51"/>
    <mergeCell ref="A40:C40"/>
    <mergeCell ref="G48:H48"/>
    <mergeCell ref="G47:H47"/>
    <mergeCell ref="E38:H38"/>
    <mergeCell ref="A38:B38"/>
    <mergeCell ref="C38:D38"/>
    <mergeCell ref="F49:H49"/>
    <mergeCell ref="A39:H39"/>
    <mergeCell ref="A33:B33"/>
    <mergeCell ref="A22:D22"/>
    <mergeCell ref="E16:H16"/>
    <mergeCell ref="A25:H26"/>
    <mergeCell ref="A31:H31"/>
    <mergeCell ref="C33:D33"/>
    <mergeCell ref="E18:H18"/>
    <mergeCell ref="E19:H19"/>
    <mergeCell ref="A19:D19"/>
    <mergeCell ref="A29:C29"/>
    <mergeCell ref="E33:H33"/>
    <mergeCell ref="A18:D18"/>
    <mergeCell ref="A32:H32"/>
    <mergeCell ref="A30:C30"/>
    <mergeCell ref="A23:D23"/>
    <mergeCell ref="I8:I10"/>
    <mergeCell ref="E5:H5"/>
    <mergeCell ref="B4:D4"/>
    <mergeCell ref="I16:I19"/>
    <mergeCell ref="F10:H10"/>
    <mergeCell ref="B9:C9"/>
    <mergeCell ref="F12:H12"/>
    <mergeCell ref="F8:H8"/>
    <mergeCell ref="E17:H17"/>
    <mergeCell ref="F1:G1"/>
    <mergeCell ref="A28:C28"/>
    <mergeCell ref="B10:C10"/>
    <mergeCell ref="B8:C8"/>
    <mergeCell ref="A17:D17"/>
    <mergeCell ref="A27:C27"/>
    <mergeCell ref="A15:D15"/>
    <mergeCell ref="A16:D16"/>
    <mergeCell ref="B11:C11"/>
    <mergeCell ref="B12:C12"/>
    <mergeCell ref="A14:D14"/>
    <mergeCell ref="A13:H13"/>
    <mergeCell ref="E14:H14"/>
    <mergeCell ref="D8:E8"/>
    <mergeCell ref="B1:E1"/>
    <mergeCell ref="B3:D3"/>
    <mergeCell ref="A2:H2"/>
    <mergeCell ref="E3:H3"/>
    <mergeCell ref="B5:D5"/>
    <mergeCell ref="E15:H15"/>
    <mergeCell ref="A11:A12"/>
    <mergeCell ref="A8:A10"/>
    <mergeCell ref="B6:C6"/>
    <mergeCell ref="B7:C7"/>
    <mergeCell ref="D6:E6"/>
    <mergeCell ref="D7:E7"/>
    <mergeCell ref="F6:H6"/>
    <mergeCell ref="F7:H7"/>
    <mergeCell ref="A6:A7"/>
    <mergeCell ref="A4:A5"/>
    <mergeCell ref="D9:E9"/>
    <mergeCell ref="D10:E10"/>
  </mergeCells>
  <phoneticPr fontId="0" type="noConversion"/>
  <printOptions horizontalCentered="1"/>
  <pageMargins left="0.35433070866141736" right="0.31496062992125984" top="0.70866141732283472" bottom="1.0629921259842521" header="0" footer="1.0629921259842521"/>
  <pageSetup scale="83" orientation="portrait" horizontalDpi="200" verticalDpi="200" r:id="rId1"/>
  <headerFooter scaleWithDoc="0">
    <oddHeader>&amp;L&amp;G&amp;CEncuesta de satisfacción y percepción del servicio al ciudadano</oddHeader>
    <oddFooter>&amp;L&amp;G&amp;C&amp;P&amp;R&amp;"Times New Roman,Normal"SCI-FM-02
V2</oddFooter>
  </headerFooter>
  <customProperties>
    <customPr name="DVSECTIONID" r:id="rId2"/>
  </customPropertie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IV7"/>
  <sheetViews>
    <sheetView workbookViewId="0">
      <selection activeCell="EO7" sqref="EO7"/>
    </sheetView>
  </sheetViews>
  <sheetFormatPr baseColWidth="10" defaultRowHeight="12.75" x14ac:dyDescent="0.2"/>
  <sheetData>
    <row r="1" spans="1:256" x14ac:dyDescent="0.2">
      <c r="A1" t="e">
        <f>IF(ENCUESTA!#REF!,"AAAAAH/POQA=",0)</f>
        <v>#REF!</v>
      </c>
      <c r="B1" t="e">
        <f>AND(ENCUESTA!#REF!,"AAAAAH/POQE=")</f>
        <v>#REF!</v>
      </c>
      <c r="C1" t="e">
        <f>AND(ENCUESTA!#REF!,"AAAAAH/POQI=")</f>
        <v>#REF!</v>
      </c>
      <c r="D1" t="e">
        <f>AND(ENCUESTA!#REF!,"AAAAAH/POQM=")</f>
        <v>#REF!</v>
      </c>
      <c r="E1" t="e">
        <f>AND(ENCUESTA!#REF!,"AAAAAH/POQQ=")</f>
        <v>#REF!</v>
      </c>
      <c r="F1" t="e">
        <f>AND(ENCUESTA!#REF!,"AAAAAH/POQU=")</f>
        <v>#REF!</v>
      </c>
      <c r="G1" t="e">
        <f>AND(ENCUESTA!#REF!,"AAAAAH/POQY=")</f>
        <v>#REF!</v>
      </c>
      <c r="H1" t="e">
        <f>AND(ENCUESTA!#REF!,"AAAAAH/POQc=")</f>
        <v>#REF!</v>
      </c>
      <c r="I1" t="e">
        <f>AND(ENCUESTA!#REF!,"AAAAAH/POQg=")</f>
        <v>#REF!</v>
      </c>
      <c r="J1" t="e">
        <f>AND(ENCUESTA!#REF!,"AAAAAH/POQk=")</f>
        <v>#REF!</v>
      </c>
      <c r="K1" t="e">
        <f>IF(ENCUESTA!#REF!,"AAAAAH/POQo=",0)</f>
        <v>#REF!</v>
      </c>
      <c r="L1" t="e">
        <f>AND(ENCUESTA!#REF!,"AAAAAH/POQs=")</f>
        <v>#REF!</v>
      </c>
      <c r="M1" t="e">
        <f>AND(ENCUESTA!#REF!,"AAAAAH/POQw=")</f>
        <v>#REF!</v>
      </c>
      <c r="N1" t="e">
        <f>AND(ENCUESTA!#REF!,"AAAAAH/POQ0=")</f>
        <v>#REF!</v>
      </c>
      <c r="O1" t="e">
        <f>AND(ENCUESTA!#REF!,"AAAAAH/POQ4=")</f>
        <v>#REF!</v>
      </c>
      <c r="P1" t="e">
        <f>AND(ENCUESTA!#REF!,"AAAAAH/POQ8=")</f>
        <v>#REF!</v>
      </c>
      <c r="Q1" t="e">
        <f>AND(ENCUESTA!#REF!,"AAAAAH/PORA=")</f>
        <v>#REF!</v>
      </c>
      <c r="R1" t="e">
        <f>AND(ENCUESTA!#REF!,"AAAAAH/PORE=")</f>
        <v>#REF!</v>
      </c>
      <c r="S1" t="e">
        <f>AND(ENCUESTA!#REF!,"AAAAAH/PORI=")</f>
        <v>#REF!</v>
      </c>
      <c r="T1" t="e">
        <f>AND(ENCUESTA!#REF!,"AAAAAH/PORM=")</f>
        <v>#REF!</v>
      </c>
      <c r="U1" t="e">
        <f>IF(ENCUESTA!#REF!,"AAAAAH/PORQ=",0)</f>
        <v>#REF!</v>
      </c>
      <c r="V1" t="e">
        <f>AND(ENCUESTA!#REF!,"AAAAAH/PORU=")</f>
        <v>#REF!</v>
      </c>
      <c r="W1" t="e">
        <f>AND(ENCUESTA!#REF!,"AAAAAH/PORY=")</f>
        <v>#REF!</v>
      </c>
      <c r="X1" t="e">
        <f>AND(ENCUESTA!#REF!,"AAAAAH/PORc=")</f>
        <v>#REF!</v>
      </c>
      <c r="Y1" t="e">
        <f>AND(ENCUESTA!#REF!,"AAAAAH/PORg=")</f>
        <v>#REF!</v>
      </c>
      <c r="Z1" t="e">
        <f>AND(ENCUESTA!#REF!,"AAAAAH/PORk=")</f>
        <v>#REF!</v>
      </c>
      <c r="AA1" t="e">
        <f>AND(ENCUESTA!#REF!,"AAAAAH/PORo=")</f>
        <v>#REF!</v>
      </c>
      <c r="AB1" t="e">
        <f>AND(ENCUESTA!#REF!,"AAAAAH/PORs=")</f>
        <v>#REF!</v>
      </c>
      <c r="AC1" t="e">
        <f>AND(ENCUESTA!#REF!,"AAAAAH/PORw=")</f>
        <v>#REF!</v>
      </c>
      <c r="AD1" t="e">
        <f>AND(ENCUESTA!#REF!,"AAAAAH/POR0=")</f>
        <v>#REF!</v>
      </c>
      <c r="AE1">
        <f>IF(ENCUESTA!1:1,"AAAAAH/POR4=",0)</f>
        <v>0</v>
      </c>
      <c r="AF1" t="e">
        <f>AND(ENCUESTA!A1,"AAAAAH/POR8=")</f>
        <v>#VALUE!</v>
      </c>
      <c r="AG1" t="e">
        <f>AND(ENCUESTA!B1,"AAAAAH/POSA=")</f>
        <v>#VALUE!</v>
      </c>
      <c r="AH1" t="e">
        <f>AND(ENCUESTA!C1,"AAAAAH/POSE=")</f>
        <v>#VALUE!</v>
      </c>
      <c r="AI1" t="e">
        <f>AND(ENCUESTA!D1,"AAAAAH/POSI=")</f>
        <v>#VALUE!</v>
      </c>
      <c r="AJ1" t="e">
        <f>AND(ENCUESTA!E1,"AAAAAH/POSM=")</f>
        <v>#VALUE!</v>
      </c>
      <c r="AK1" t="e">
        <f>AND(ENCUESTA!F1,"AAAAAH/POSQ=")</f>
        <v>#VALUE!</v>
      </c>
      <c r="AL1" t="e">
        <f>AND(ENCUESTA!G1,"AAAAAH/POSU=")</f>
        <v>#VALUE!</v>
      </c>
      <c r="AM1" t="e">
        <f>AND(ENCUESTA!H1,"AAAAAH/POSY=")</f>
        <v>#VALUE!</v>
      </c>
      <c r="AN1" t="e">
        <f>AND(ENCUESTA!I1,"AAAAAH/POSc=")</f>
        <v>#VALUE!</v>
      </c>
      <c r="AO1">
        <f>IF(ENCUESTA!2:2,"AAAAAH/POSg=",0)</f>
        <v>0</v>
      </c>
      <c r="AP1" t="e">
        <f>AND(ENCUESTA!A2,"AAAAAH/POSk=")</f>
        <v>#VALUE!</v>
      </c>
      <c r="AQ1" t="e">
        <f>AND(ENCUESTA!B2,"AAAAAH/POSo=")</f>
        <v>#VALUE!</v>
      </c>
      <c r="AR1" t="e">
        <f>AND(ENCUESTA!C2,"AAAAAH/POSs=")</f>
        <v>#VALUE!</v>
      </c>
      <c r="AS1" t="e">
        <f>AND(ENCUESTA!D2,"AAAAAH/POSw=")</f>
        <v>#VALUE!</v>
      </c>
      <c r="AT1" t="e">
        <f>AND(ENCUESTA!E2,"AAAAAH/POS0=")</f>
        <v>#VALUE!</v>
      </c>
      <c r="AU1" t="e">
        <f>AND(ENCUESTA!F2,"AAAAAH/POS4=")</f>
        <v>#VALUE!</v>
      </c>
      <c r="AV1" t="e">
        <f>AND(ENCUESTA!G2,"AAAAAH/POS8=")</f>
        <v>#VALUE!</v>
      </c>
      <c r="AW1" t="e">
        <f>AND(ENCUESTA!H2,"AAAAAH/POTA=")</f>
        <v>#VALUE!</v>
      </c>
      <c r="AX1" t="e">
        <f>AND(ENCUESTA!I2,"AAAAAH/POTE=")</f>
        <v>#VALUE!</v>
      </c>
      <c r="AY1">
        <f>IF(ENCUESTA!3:3,"AAAAAH/POTI=",0)</f>
        <v>0</v>
      </c>
      <c r="AZ1" t="e">
        <f>AND(ENCUESTA!A3,"AAAAAH/POTM=")</f>
        <v>#VALUE!</v>
      </c>
      <c r="BA1" t="e">
        <f>AND(ENCUESTA!B3,"AAAAAH/POTQ=")</f>
        <v>#VALUE!</v>
      </c>
      <c r="BB1" t="e">
        <f>AND(ENCUESTA!C3,"AAAAAH/POTU=")</f>
        <v>#VALUE!</v>
      </c>
      <c r="BC1" t="e">
        <f>AND(ENCUESTA!F3,"AAAAAH/POTY=")</f>
        <v>#VALUE!</v>
      </c>
      <c r="BD1" t="e">
        <f>AND(ENCUESTA!G3,"AAAAAH/POTc=")</f>
        <v>#VALUE!</v>
      </c>
      <c r="BE1" t="e">
        <f>AND(ENCUESTA!#REF!,"AAAAAH/POTg=")</f>
        <v>#REF!</v>
      </c>
      <c r="BF1" t="e">
        <f>AND(ENCUESTA!#REF!,"AAAAAH/POTk=")</f>
        <v>#REF!</v>
      </c>
      <c r="BG1" t="e">
        <f>AND(ENCUESTA!H3,"AAAAAH/POTo=")</f>
        <v>#VALUE!</v>
      </c>
      <c r="BH1" t="e">
        <f>AND(ENCUESTA!I3,"AAAAAH/POTs=")</f>
        <v>#VALUE!</v>
      </c>
      <c r="BI1" t="e">
        <f>IF(ENCUESTA!#REF!,"AAAAAH/POTw=",0)</f>
        <v>#REF!</v>
      </c>
      <c r="BJ1" t="e">
        <f>AND(ENCUESTA!#REF!,"AAAAAH/POT0=")</f>
        <v>#REF!</v>
      </c>
      <c r="BK1" t="e">
        <f>AND(ENCUESTA!#REF!,"AAAAAH/POT4=")</f>
        <v>#REF!</v>
      </c>
      <c r="BL1" t="e">
        <f>AND(ENCUESTA!#REF!,"AAAAAH/POT8=")</f>
        <v>#REF!</v>
      </c>
      <c r="BM1" t="e">
        <f>AND(ENCUESTA!#REF!,"AAAAAH/POUA=")</f>
        <v>#REF!</v>
      </c>
      <c r="BN1" t="e">
        <f>AND(ENCUESTA!#REF!,"AAAAAH/POUE=")</f>
        <v>#REF!</v>
      </c>
      <c r="BO1" t="e">
        <f>AND(ENCUESTA!#REF!,"AAAAAH/POUI=")</f>
        <v>#REF!</v>
      </c>
      <c r="BP1" t="e">
        <f>AND(ENCUESTA!#REF!,"AAAAAH/POUM=")</f>
        <v>#REF!</v>
      </c>
      <c r="BQ1" t="e">
        <f>AND(ENCUESTA!#REF!,"AAAAAH/POUQ=")</f>
        <v>#REF!</v>
      </c>
      <c r="BR1" t="e">
        <f>AND(ENCUESTA!#REF!,"AAAAAH/POUU=")</f>
        <v>#REF!</v>
      </c>
      <c r="BS1" t="e">
        <f>IF(ENCUESTA!#REF!,"AAAAAH/POUY=",0)</f>
        <v>#REF!</v>
      </c>
      <c r="BT1" t="e">
        <f>AND(ENCUESTA!#REF!,"AAAAAH/POUc=")</f>
        <v>#REF!</v>
      </c>
      <c r="BU1" t="e">
        <f>AND(ENCUESTA!#REF!,"AAAAAH/POUg=")</f>
        <v>#REF!</v>
      </c>
      <c r="BV1" t="e">
        <f>AND(ENCUESTA!#REF!,"AAAAAH/POUk=")</f>
        <v>#REF!</v>
      </c>
      <c r="BW1" t="e">
        <f>AND(ENCUESTA!#REF!,"AAAAAH/POUo=")</f>
        <v>#REF!</v>
      </c>
      <c r="BX1" t="e">
        <f>AND(ENCUESTA!#REF!,"AAAAAH/POUs=")</f>
        <v>#REF!</v>
      </c>
      <c r="BY1" t="e">
        <f>AND(ENCUESTA!#REF!,"AAAAAH/POUw=")</f>
        <v>#REF!</v>
      </c>
      <c r="BZ1" t="e">
        <f>AND(ENCUESTA!#REF!,"AAAAAH/POU0=")</f>
        <v>#REF!</v>
      </c>
      <c r="CA1" t="e">
        <f>AND(ENCUESTA!#REF!,"AAAAAH/POU4=")</f>
        <v>#REF!</v>
      </c>
      <c r="CB1" t="e">
        <f>AND(ENCUESTA!#REF!,"AAAAAH/POU8=")</f>
        <v>#REF!</v>
      </c>
      <c r="CC1" t="e">
        <f>IF(ENCUESTA!#REF!,"AAAAAH/POVA=",0)</f>
        <v>#REF!</v>
      </c>
      <c r="CD1" t="e">
        <f>AND(ENCUESTA!#REF!,"AAAAAH/POVE=")</f>
        <v>#REF!</v>
      </c>
      <c r="CE1" t="e">
        <f>AND(ENCUESTA!#REF!,"AAAAAH/POVI=")</f>
        <v>#REF!</v>
      </c>
      <c r="CF1" t="e">
        <f>AND(ENCUESTA!#REF!,"AAAAAH/POVM=")</f>
        <v>#REF!</v>
      </c>
      <c r="CG1" t="e">
        <f>AND(ENCUESTA!#REF!,"AAAAAH/POVQ=")</f>
        <v>#REF!</v>
      </c>
      <c r="CH1" t="e">
        <f>AND(ENCUESTA!#REF!,"AAAAAH/POVU=")</f>
        <v>#REF!</v>
      </c>
      <c r="CI1" t="e">
        <f>AND(ENCUESTA!#REF!,"AAAAAH/POVY=")</f>
        <v>#REF!</v>
      </c>
      <c r="CJ1" t="e">
        <f>AND(ENCUESTA!#REF!,"AAAAAH/POVc=")</f>
        <v>#REF!</v>
      </c>
      <c r="CK1" t="e">
        <f>AND(ENCUESTA!#REF!,"AAAAAH/POVg=")</f>
        <v>#REF!</v>
      </c>
      <c r="CL1" t="e">
        <f>AND(ENCUESTA!#REF!,"AAAAAH/POVk=")</f>
        <v>#REF!</v>
      </c>
      <c r="CM1">
        <f>IF(ENCUESTA!4:4,"AAAAAH/POVo=",0)</f>
        <v>0</v>
      </c>
      <c r="CN1" t="e">
        <f>AND(ENCUESTA!A4,"AAAAAH/POVs=")</f>
        <v>#VALUE!</v>
      </c>
      <c r="CO1" t="e">
        <f>AND(ENCUESTA!B4,"AAAAAH/POVw=")</f>
        <v>#VALUE!</v>
      </c>
      <c r="CP1" t="e">
        <f>AND(ENCUESTA!C4,"AAAAAH/POV0=")</f>
        <v>#VALUE!</v>
      </c>
      <c r="CQ1" t="e">
        <f>AND(ENCUESTA!D4,"AAAAAH/POV4=")</f>
        <v>#VALUE!</v>
      </c>
      <c r="CR1" t="e">
        <f>AND(ENCUESTA!E4,"AAAAAH/POV8=")</f>
        <v>#VALUE!</v>
      </c>
      <c r="CS1" t="e">
        <f>AND(ENCUESTA!F4,"AAAAAH/POWA=")</f>
        <v>#VALUE!</v>
      </c>
      <c r="CT1" t="e">
        <f>AND(ENCUESTA!G4,"AAAAAH/POWE=")</f>
        <v>#VALUE!</v>
      </c>
      <c r="CU1" t="e">
        <f>AND(ENCUESTA!H4,"AAAAAH/POWI=")</f>
        <v>#VALUE!</v>
      </c>
      <c r="CV1" t="e">
        <f>AND(ENCUESTA!I4,"AAAAAH/POWM=")</f>
        <v>#VALUE!</v>
      </c>
      <c r="CW1">
        <f>IF(ENCUESTA!5:5,"AAAAAH/POWQ=",0)</f>
        <v>0</v>
      </c>
      <c r="CX1" t="e">
        <f>AND(ENCUESTA!A5,"AAAAAH/POWU=")</f>
        <v>#VALUE!</v>
      </c>
      <c r="CY1" t="e">
        <f>AND(ENCUESTA!B5,"AAAAAH/POWY=")</f>
        <v>#VALUE!</v>
      </c>
      <c r="CZ1" t="e">
        <f>AND(ENCUESTA!C5,"AAAAAH/POWc=")</f>
        <v>#VALUE!</v>
      </c>
      <c r="DA1" t="e">
        <f>AND(ENCUESTA!D5,"AAAAAH/POWg=")</f>
        <v>#VALUE!</v>
      </c>
      <c r="DB1" t="e">
        <f>AND(ENCUESTA!E5,"AAAAAH/POWk=")</f>
        <v>#VALUE!</v>
      </c>
      <c r="DC1" t="e">
        <f>AND(ENCUESTA!F5,"AAAAAH/POWo=")</f>
        <v>#VALUE!</v>
      </c>
      <c r="DD1" t="e">
        <f>AND(ENCUESTA!G5,"AAAAAH/POWs=")</f>
        <v>#VALUE!</v>
      </c>
      <c r="DE1" t="e">
        <f>AND(ENCUESTA!H5,"AAAAAH/POWw=")</f>
        <v>#VALUE!</v>
      </c>
      <c r="DF1" t="e">
        <f>AND(ENCUESTA!I5,"AAAAAH/POW0=")</f>
        <v>#VALUE!</v>
      </c>
      <c r="DG1" t="e">
        <f>IF(ENCUESTA!#REF!,"AAAAAH/POW4=",0)</f>
        <v>#REF!</v>
      </c>
      <c r="DH1" t="e">
        <f>AND(ENCUESTA!#REF!,"AAAAAH/POW8=")</f>
        <v>#REF!</v>
      </c>
      <c r="DI1" t="e">
        <f>AND(ENCUESTA!#REF!,"AAAAAH/POXA=")</f>
        <v>#REF!</v>
      </c>
      <c r="DJ1" t="e">
        <f>AND(ENCUESTA!#REF!,"AAAAAH/POXE=")</f>
        <v>#REF!</v>
      </c>
      <c r="DK1" t="e">
        <f>AND(ENCUESTA!#REF!,"AAAAAH/POXI=")</f>
        <v>#REF!</v>
      </c>
      <c r="DL1" t="e">
        <f>AND(ENCUESTA!#REF!,"AAAAAH/POXM=")</f>
        <v>#REF!</v>
      </c>
      <c r="DM1" t="e">
        <f>AND(ENCUESTA!#REF!,"AAAAAH/POXQ=")</f>
        <v>#REF!</v>
      </c>
      <c r="DN1" t="e">
        <f>AND(ENCUESTA!#REF!,"AAAAAH/POXU=")</f>
        <v>#REF!</v>
      </c>
      <c r="DO1" t="e">
        <f>AND(ENCUESTA!#REF!,"AAAAAH/POXY=")</f>
        <v>#REF!</v>
      </c>
      <c r="DP1" t="e">
        <f>AND(ENCUESTA!#REF!,"AAAAAH/POXc=")</f>
        <v>#REF!</v>
      </c>
      <c r="DQ1">
        <f>IF(ENCUESTA!6:6,"AAAAAH/POXg=",0)</f>
        <v>0</v>
      </c>
      <c r="DR1" t="e">
        <f>AND(ENCUESTA!A6,"AAAAAH/POXk=")</f>
        <v>#VALUE!</v>
      </c>
      <c r="DS1" t="e">
        <f>AND(ENCUESTA!B6,"AAAAAH/POXo=")</f>
        <v>#VALUE!</v>
      </c>
      <c r="DT1" t="e">
        <f>AND(ENCUESTA!D6,"AAAAAH/POXs=")</f>
        <v>#VALUE!</v>
      </c>
      <c r="DU1" t="e">
        <f>AND(ENCUESTA!#REF!,"AAAAAH/POXw=")</f>
        <v>#REF!</v>
      </c>
      <c r="DV1" t="e">
        <f>AND(ENCUESTA!F6,"AAAAAH/POX0=")</f>
        <v>#VALUE!</v>
      </c>
      <c r="DW1" t="e">
        <f>AND(ENCUESTA!#REF!,"AAAAAH/POX4=")</f>
        <v>#REF!</v>
      </c>
      <c r="DX1" t="e">
        <f>AND(ENCUESTA!H7,"AAAAAH/POX8=")</f>
        <v>#VALUE!</v>
      </c>
      <c r="DY1" t="e">
        <f>AND(ENCUESTA!#REF!,"AAAAAH/POYA=")</f>
        <v>#REF!</v>
      </c>
      <c r="DZ1" t="e">
        <f>AND(ENCUESTA!I6,"AAAAAH/POYE=")</f>
        <v>#VALUE!</v>
      </c>
      <c r="EA1">
        <f>IF(ENCUESTA!7:7,"AAAAAH/POYI=",0)</f>
        <v>0</v>
      </c>
      <c r="EB1" t="e">
        <f>AND(ENCUESTA!A7,"AAAAAH/POYM=")</f>
        <v>#VALUE!</v>
      </c>
      <c r="EC1" t="e">
        <f>AND(ENCUESTA!D7,"AAAAAH/POYQ=")</f>
        <v>#VALUE!</v>
      </c>
      <c r="ED1" t="e">
        <f>AND(ENCUESTA!F7,"AAAAAH/POYU=")</f>
        <v>#VALUE!</v>
      </c>
      <c r="EE1" t="e">
        <f>AND(ENCUESTA!#REF!,"AAAAAH/POYY=")</f>
        <v>#REF!</v>
      </c>
      <c r="EF1" t="e">
        <f>AND(ENCUESTA!#REF!,"AAAAAH/POYc=")</f>
        <v>#REF!</v>
      </c>
      <c r="EG1" t="e">
        <f>AND(ENCUESTA!#REF!,"AAAAAH/POYg=")</f>
        <v>#REF!</v>
      </c>
      <c r="EH1" t="e">
        <f>AND(ENCUESTA!#REF!,"AAAAAH/POYk=")</f>
        <v>#REF!</v>
      </c>
      <c r="EI1" t="e">
        <f>AND(ENCUESTA!#REF!,"AAAAAH/POYo=")</f>
        <v>#REF!</v>
      </c>
      <c r="EJ1" t="e">
        <f>AND(ENCUESTA!I7,"AAAAAH/POYs=")</f>
        <v>#VALUE!</v>
      </c>
      <c r="EK1">
        <f>IF(ENCUESTA!8:8,"AAAAAH/POYw=",0)</f>
        <v>0</v>
      </c>
      <c r="EL1" t="e">
        <f>AND(ENCUESTA!A8,"AAAAAH/POY0=")</f>
        <v>#VALUE!</v>
      </c>
      <c r="EM1" t="e">
        <f>AND(ENCUESTA!B8,"AAAAAH/POY4=")</f>
        <v>#VALUE!</v>
      </c>
      <c r="EN1" t="e">
        <f>AND(ENCUESTA!C8,"AAAAAH/POY8=")</f>
        <v>#VALUE!</v>
      </c>
      <c r="EO1" t="e">
        <f>AND(ENCUESTA!D8,"AAAAAH/POZA=")</f>
        <v>#VALUE!</v>
      </c>
      <c r="EP1" t="e">
        <f>AND(ENCUESTA!E9,"AAAAAH/POZE=")</f>
        <v>#VALUE!</v>
      </c>
      <c r="EQ1" t="e">
        <f>AND(ENCUESTA!F8,"AAAAAH/POZI=")</f>
        <v>#VALUE!</v>
      </c>
      <c r="ER1" t="e">
        <f>AND(ENCUESTA!G8,"AAAAAH/POZM=")</f>
        <v>#VALUE!</v>
      </c>
      <c r="ES1" t="e">
        <f>AND(ENCUESTA!H8,"AAAAAH/POZQ=")</f>
        <v>#VALUE!</v>
      </c>
      <c r="ET1" t="e">
        <f>AND(ENCUESTA!I8,"AAAAAH/POZU=")</f>
        <v>#VALUE!</v>
      </c>
      <c r="EU1">
        <f>IF(ENCUESTA!9:9,"AAAAAH/POZY=",0)</f>
        <v>0</v>
      </c>
      <c r="EV1" t="e">
        <f>AND(ENCUESTA!A9,"AAAAAH/POZc=")</f>
        <v>#VALUE!</v>
      </c>
      <c r="EW1" t="e">
        <f>AND(ENCUESTA!B9,"AAAAAH/POZg=")</f>
        <v>#VALUE!</v>
      </c>
      <c r="EX1" t="e">
        <f>AND(ENCUESTA!C9,"AAAAAH/POZk=")</f>
        <v>#VALUE!</v>
      </c>
      <c r="EY1" t="e">
        <f>AND(ENCUESTA!D9,"AAAAAH/POZo=")</f>
        <v>#VALUE!</v>
      </c>
      <c r="EZ1" t="e">
        <f>AND(ENCUESTA!E10,"AAAAAH/POZs=")</f>
        <v>#VALUE!</v>
      </c>
      <c r="FA1" t="e">
        <f>AND(ENCUESTA!F10,"AAAAAH/POZw=")</f>
        <v>#VALUE!</v>
      </c>
      <c r="FB1" t="e">
        <f>AND(ENCUESTA!G10,"AAAAAH/POZ0=")</f>
        <v>#VALUE!</v>
      </c>
      <c r="FC1" t="e">
        <f>AND(ENCUESTA!H10,"AAAAAH/POZ4=")</f>
        <v>#VALUE!</v>
      </c>
      <c r="FD1" t="e">
        <f>AND(ENCUESTA!I9,"AAAAAH/POZ8=")</f>
        <v>#VALUE!</v>
      </c>
      <c r="FE1">
        <f>IF(ENCUESTA!10:10,"AAAAAH/POaA=",0)</f>
        <v>0</v>
      </c>
      <c r="FF1" t="e">
        <f>AND(ENCUESTA!A10,"AAAAAH/POaE=")</f>
        <v>#VALUE!</v>
      </c>
      <c r="FG1" t="e">
        <f>AND(ENCUESTA!B10,"AAAAAH/POaI=")</f>
        <v>#VALUE!</v>
      </c>
      <c r="FH1" t="e">
        <f>AND(ENCUESTA!C10,"AAAAAH/POaM=")</f>
        <v>#VALUE!</v>
      </c>
      <c r="FI1" t="e">
        <f>AND(ENCUESTA!D10,"AAAAAH/POaQ=")</f>
        <v>#VALUE!</v>
      </c>
      <c r="FJ1" t="e">
        <f>AND(ENCUESTA!E11,"AAAAAH/POaU=")</f>
        <v>#VALUE!</v>
      </c>
      <c r="FK1" t="e">
        <f>AND(ENCUESTA!#REF!,"AAAAAH/POaY=")</f>
        <v>#REF!</v>
      </c>
      <c r="FL1" t="e">
        <f>AND(ENCUESTA!#REF!,"AAAAAH/POac=")</f>
        <v>#REF!</v>
      </c>
      <c r="FM1" t="e">
        <f>AND(ENCUESTA!#REF!,"AAAAAH/POag=")</f>
        <v>#REF!</v>
      </c>
      <c r="FN1" t="e">
        <f>AND(ENCUESTA!I10,"AAAAAH/POak=")</f>
        <v>#VALUE!</v>
      </c>
      <c r="FO1">
        <f>IF(ENCUESTA!11:11,"AAAAAH/POao=",0)</f>
        <v>0</v>
      </c>
      <c r="FP1" t="e">
        <f>AND(ENCUESTA!A11,"AAAAAH/POas=")</f>
        <v>#VALUE!</v>
      </c>
      <c r="FQ1" t="e">
        <f>AND(ENCUESTA!B11,"AAAAAH/POaw=")</f>
        <v>#VALUE!</v>
      </c>
      <c r="FR1" t="e">
        <f>AND(ENCUESTA!C11,"AAAAAH/POa0=")</f>
        <v>#VALUE!</v>
      </c>
      <c r="FS1" t="e">
        <f>AND(ENCUESTA!D11,"AAAAAH/POa4=")</f>
        <v>#VALUE!</v>
      </c>
      <c r="FT1" t="e">
        <f>AND(ENCUESTA!E12,"AAAAAH/POa8=")</f>
        <v>#VALUE!</v>
      </c>
      <c r="FU1" t="e">
        <f>AND(ENCUESTA!F11,"AAAAAH/PObA=")</f>
        <v>#VALUE!</v>
      </c>
      <c r="FV1" t="e">
        <f>AND(ENCUESTA!G11,"AAAAAH/PObE=")</f>
        <v>#VALUE!</v>
      </c>
      <c r="FW1" t="e">
        <f>AND(ENCUESTA!H11,"AAAAAH/PObI=")</f>
        <v>#VALUE!</v>
      </c>
      <c r="FX1" t="e">
        <f>AND(ENCUESTA!I11,"AAAAAH/PObM=")</f>
        <v>#VALUE!</v>
      </c>
      <c r="FY1">
        <f>IF(ENCUESTA!12:12,"AAAAAH/PObQ=",0)</f>
        <v>0</v>
      </c>
      <c r="FZ1" t="e">
        <f>AND(ENCUESTA!A12,"AAAAAH/PObU=")</f>
        <v>#VALUE!</v>
      </c>
      <c r="GA1" t="e">
        <f>AND(ENCUESTA!B12,"AAAAAH/PObY=")</f>
        <v>#VALUE!</v>
      </c>
      <c r="GB1" t="e">
        <f>AND(ENCUESTA!C12,"AAAAAH/PObc=")</f>
        <v>#VALUE!</v>
      </c>
      <c r="GC1" t="e">
        <f>AND(ENCUESTA!D12,"AAAAAH/PObg=")</f>
        <v>#VALUE!</v>
      </c>
      <c r="GD1" t="e">
        <f>AND(ENCUESTA!#REF!,"AAAAAH/PObk=")</f>
        <v>#REF!</v>
      </c>
      <c r="GE1" t="e">
        <f>AND(ENCUESTA!F12,"AAAAAH/PObo=")</f>
        <v>#VALUE!</v>
      </c>
      <c r="GF1" t="e">
        <f>AND(ENCUESTA!G12,"AAAAAH/PObs=")</f>
        <v>#VALUE!</v>
      </c>
      <c r="GG1" t="e">
        <f>AND(ENCUESTA!H12,"AAAAAH/PObw=")</f>
        <v>#VALUE!</v>
      </c>
      <c r="GH1" t="e">
        <f>AND(ENCUESTA!I12,"AAAAAH/POb0=")</f>
        <v>#VALUE!</v>
      </c>
      <c r="GI1" t="e">
        <f>IF(ENCUESTA!#REF!,"AAAAAH/POb4=",0)</f>
        <v>#REF!</v>
      </c>
      <c r="GJ1" t="e">
        <f>AND(ENCUESTA!#REF!,"AAAAAH/POb8=")</f>
        <v>#REF!</v>
      </c>
      <c r="GK1" t="e">
        <f>AND(ENCUESTA!#REF!,"AAAAAH/POcA=")</f>
        <v>#REF!</v>
      </c>
      <c r="GL1" t="e">
        <f>AND(ENCUESTA!#REF!,"AAAAAH/POcE=")</f>
        <v>#REF!</v>
      </c>
      <c r="GM1" t="e">
        <f>AND(ENCUESTA!#REF!,"AAAAAH/POcI=")</f>
        <v>#REF!</v>
      </c>
      <c r="GN1" t="e">
        <f>AND(ENCUESTA!#REF!,"AAAAAH/POcM=")</f>
        <v>#REF!</v>
      </c>
      <c r="GO1" t="e">
        <f>AND(ENCUESTA!#REF!,"AAAAAH/POcQ=")</f>
        <v>#REF!</v>
      </c>
      <c r="GP1" t="e">
        <f>AND(ENCUESTA!#REF!,"AAAAAH/POcU=")</f>
        <v>#REF!</v>
      </c>
      <c r="GQ1" t="e">
        <f>AND(ENCUESTA!#REF!,"AAAAAH/POcY=")</f>
        <v>#REF!</v>
      </c>
      <c r="GR1" t="e">
        <f>AND(ENCUESTA!#REF!,"AAAAAH/POcc=")</f>
        <v>#REF!</v>
      </c>
      <c r="GS1">
        <f>IF(ENCUESTA!13:13,"AAAAAH/POcg=",0)</f>
        <v>0</v>
      </c>
      <c r="GT1" t="e">
        <f>AND(ENCUESTA!A13,"AAAAAH/POck=")</f>
        <v>#VALUE!</v>
      </c>
      <c r="GU1" t="e">
        <f>AND(ENCUESTA!B13,"AAAAAH/POco=")</f>
        <v>#VALUE!</v>
      </c>
      <c r="GV1" t="e">
        <f>AND(ENCUESTA!C13,"AAAAAH/POcs=")</f>
        <v>#VALUE!</v>
      </c>
      <c r="GW1" t="e">
        <f>AND(ENCUESTA!D13,"AAAAAH/POcw=")</f>
        <v>#VALUE!</v>
      </c>
      <c r="GX1" t="e">
        <f>AND(ENCUESTA!E13,"AAAAAH/POc0=")</f>
        <v>#VALUE!</v>
      </c>
      <c r="GY1" t="e">
        <f>AND(ENCUESTA!F13,"AAAAAH/POc4=")</f>
        <v>#VALUE!</v>
      </c>
      <c r="GZ1" t="e">
        <f>AND(ENCUESTA!G13,"AAAAAH/POc8=")</f>
        <v>#VALUE!</v>
      </c>
      <c r="HA1" t="e">
        <f>AND(ENCUESTA!H13,"AAAAAH/POdA=")</f>
        <v>#VALUE!</v>
      </c>
      <c r="HB1" t="e">
        <f>AND(ENCUESTA!I13,"AAAAAH/POdE=")</f>
        <v>#VALUE!</v>
      </c>
      <c r="HC1">
        <f>IF(ENCUESTA!14:14,"AAAAAH/POdI=",0)</f>
        <v>0</v>
      </c>
      <c r="HD1" t="e">
        <f>AND(ENCUESTA!A14,"AAAAAH/POdM=")</f>
        <v>#VALUE!</v>
      </c>
      <c r="HE1" t="e">
        <f>AND(ENCUESTA!B14,"AAAAAH/POdQ=")</f>
        <v>#VALUE!</v>
      </c>
      <c r="HF1" t="e">
        <f>AND(ENCUESTA!C14,"AAAAAH/POdU=")</f>
        <v>#VALUE!</v>
      </c>
      <c r="HG1" t="e">
        <f>AND(ENCUESTA!D14,"AAAAAH/POdY=")</f>
        <v>#VALUE!</v>
      </c>
      <c r="HH1" t="e">
        <f>AND(ENCUESTA!E14,"AAAAAH/POdc=")</f>
        <v>#VALUE!</v>
      </c>
      <c r="HI1" t="e">
        <f>AND(ENCUESTA!F14,"AAAAAH/POdg=")</f>
        <v>#VALUE!</v>
      </c>
      <c r="HJ1" t="e">
        <f>AND(ENCUESTA!G14,"AAAAAH/POdk=")</f>
        <v>#VALUE!</v>
      </c>
      <c r="HK1" t="e">
        <f>AND(ENCUESTA!H14,"AAAAAH/POdo=")</f>
        <v>#VALUE!</v>
      </c>
      <c r="HL1" t="e">
        <f>AND(ENCUESTA!I14,"AAAAAH/POds=")</f>
        <v>#VALUE!</v>
      </c>
      <c r="HM1" t="e">
        <f>IF(ENCUESTA!#REF!,"AAAAAH/POdw=",0)</f>
        <v>#REF!</v>
      </c>
      <c r="HN1" t="e">
        <f>AND(ENCUESTA!#REF!,"AAAAAH/POd0=")</f>
        <v>#REF!</v>
      </c>
      <c r="HO1" t="e">
        <f>AND(ENCUESTA!#REF!,"AAAAAH/POd4=")</f>
        <v>#REF!</v>
      </c>
      <c r="HP1" t="e">
        <f>AND(ENCUESTA!#REF!,"AAAAAH/POd8=")</f>
        <v>#REF!</v>
      </c>
      <c r="HQ1" t="e">
        <f>AND(ENCUESTA!#REF!,"AAAAAH/POeA=")</f>
        <v>#REF!</v>
      </c>
      <c r="HR1" t="e">
        <f>AND(ENCUESTA!#REF!,"AAAAAH/POeE=")</f>
        <v>#REF!</v>
      </c>
      <c r="HS1" t="e">
        <f>AND(ENCUESTA!#REF!,"AAAAAH/POeI=")</f>
        <v>#REF!</v>
      </c>
      <c r="HT1" t="e">
        <f>AND(ENCUESTA!#REF!,"AAAAAH/POeM=")</f>
        <v>#REF!</v>
      </c>
      <c r="HU1" t="e">
        <f>AND(ENCUESTA!#REF!,"AAAAAH/POeQ=")</f>
        <v>#REF!</v>
      </c>
      <c r="HV1" t="e">
        <f>AND(ENCUESTA!#REF!,"AAAAAH/POeU=")</f>
        <v>#REF!</v>
      </c>
      <c r="HW1" t="e">
        <f>IF(ENCUESTA!#REF!,"AAAAAH/POeY=",0)</f>
        <v>#REF!</v>
      </c>
      <c r="HX1" t="e">
        <f>AND(ENCUESTA!#REF!,"AAAAAH/POec=")</f>
        <v>#REF!</v>
      </c>
      <c r="HY1" t="e">
        <f>AND(ENCUESTA!#REF!,"AAAAAH/POeg=")</f>
        <v>#REF!</v>
      </c>
      <c r="HZ1" t="e">
        <f>AND(ENCUESTA!#REF!,"AAAAAH/POek=")</f>
        <v>#REF!</v>
      </c>
      <c r="IA1" t="e">
        <f>AND(ENCUESTA!#REF!,"AAAAAH/POeo=")</f>
        <v>#REF!</v>
      </c>
      <c r="IB1" t="e">
        <f>AND(ENCUESTA!#REF!,"AAAAAH/POes=")</f>
        <v>#REF!</v>
      </c>
      <c r="IC1" t="e">
        <f>AND(ENCUESTA!#REF!,"AAAAAH/POew=")</f>
        <v>#REF!</v>
      </c>
      <c r="ID1" t="e">
        <f>AND(ENCUESTA!#REF!,"AAAAAH/POe0=")</f>
        <v>#REF!</v>
      </c>
      <c r="IE1" t="e">
        <f>AND(ENCUESTA!#REF!,"AAAAAH/POe4=")</f>
        <v>#REF!</v>
      </c>
      <c r="IF1" t="e">
        <f>AND(ENCUESTA!#REF!,"AAAAAH/POe8=")</f>
        <v>#REF!</v>
      </c>
      <c r="IG1" t="e">
        <f>IF(ENCUESTA!#REF!,"AAAAAH/POfA=",0)</f>
        <v>#REF!</v>
      </c>
      <c r="IH1" t="e">
        <f>AND(ENCUESTA!#REF!,"AAAAAH/POfE=")</f>
        <v>#REF!</v>
      </c>
      <c r="II1" t="e">
        <f>AND(ENCUESTA!#REF!,"AAAAAH/POfI=")</f>
        <v>#REF!</v>
      </c>
      <c r="IJ1" t="e">
        <f>AND(ENCUESTA!#REF!,"AAAAAH/POfM=")</f>
        <v>#REF!</v>
      </c>
      <c r="IK1" t="e">
        <f>AND(ENCUESTA!#REF!,"AAAAAH/POfQ=")</f>
        <v>#REF!</v>
      </c>
      <c r="IL1" t="e">
        <f>AND(ENCUESTA!#REF!,"AAAAAH/POfU=")</f>
        <v>#REF!</v>
      </c>
      <c r="IM1" t="e">
        <f>AND(ENCUESTA!#REF!,"AAAAAH/POfY=")</f>
        <v>#REF!</v>
      </c>
      <c r="IN1" t="e">
        <f>AND(ENCUESTA!#REF!,"AAAAAH/POfc=")</f>
        <v>#REF!</v>
      </c>
      <c r="IO1" t="e">
        <f>AND(ENCUESTA!#REF!,"AAAAAH/POfg=")</f>
        <v>#REF!</v>
      </c>
      <c r="IP1" t="e">
        <f>AND(ENCUESTA!#REF!,"AAAAAH/POfk=")</f>
        <v>#REF!</v>
      </c>
      <c r="IQ1" t="e">
        <f>IF(ENCUESTA!#REF!,"AAAAAH/POfo=",0)</f>
        <v>#REF!</v>
      </c>
      <c r="IR1" t="e">
        <f>AND(ENCUESTA!#REF!,"AAAAAH/POfs=")</f>
        <v>#REF!</v>
      </c>
      <c r="IS1" t="e">
        <f>AND(ENCUESTA!#REF!,"AAAAAH/POfw=")</f>
        <v>#REF!</v>
      </c>
      <c r="IT1" t="e">
        <f>AND(ENCUESTA!#REF!,"AAAAAH/POf0=")</f>
        <v>#REF!</v>
      </c>
      <c r="IU1" t="e">
        <f>AND(ENCUESTA!#REF!,"AAAAAH/POf4=")</f>
        <v>#REF!</v>
      </c>
      <c r="IV1" t="e">
        <f>AND(ENCUESTA!#REF!,"AAAAAH/POf8=")</f>
        <v>#REF!</v>
      </c>
    </row>
    <row r="2" spans="1:256" x14ac:dyDescent="0.2">
      <c r="A2" t="e">
        <f>AND(ENCUESTA!#REF!,"AAAAAD53/QA=")</f>
        <v>#REF!</v>
      </c>
      <c r="B2" t="e">
        <f>AND(ENCUESTA!#REF!,"AAAAAD53/QE=")</f>
        <v>#REF!</v>
      </c>
      <c r="C2" t="e">
        <f>AND(ENCUESTA!#REF!,"AAAAAD53/QI=")</f>
        <v>#REF!</v>
      </c>
      <c r="D2" t="e">
        <f>AND(ENCUESTA!#REF!,"AAAAAD53/QM=")</f>
        <v>#REF!</v>
      </c>
      <c r="E2" t="e">
        <f>IF(ENCUESTA!#REF!,"AAAAAD53/QQ=",0)</f>
        <v>#REF!</v>
      </c>
      <c r="F2" t="e">
        <f>AND(ENCUESTA!#REF!,"AAAAAD53/QU=")</f>
        <v>#REF!</v>
      </c>
      <c r="G2" t="e">
        <f>AND(ENCUESTA!#REF!,"AAAAAD53/QY=")</f>
        <v>#REF!</v>
      </c>
      <c r="H2" t="e">
        <f>AND(ENCUESTA!#REF!,"AAAAAD53/Qc=")</f>
        <v>#REF!</v>
      </c>
      <c r="I2" t="e">
        <f>AND(ENCUESTA!#REF!,"AAAAAD53/Qg=")</f>
        <v>#REF!</v>
      </c>
      <c r="J2" t="e">
        <f>AND(ENCUESTA!#REF!,"AAAAAD53/Qk=")</f>
        <v>#REF!</v>
      </c>
      <c r="K2" t="e">
        <f>AND(ENCUESTA!#REF!,"AAAAAD53/Qo=")</f>
        <v>#REF!</v>
      </c>
      <c r="L2" t="e">
        <f>AND(ENCUESTA!#REF!,"AAAAAD53/Qs=")</f>
        <v>#REF!</v>
      </c>
      <c r="M2" t="e">
        <f>AND(ENCUESTA!#REF!,"AAAAAD53/Qw=")</f>
        <v>#REF!</v>
      </c>
      <c r="N2" t="e">
        <f>AND(ENCUESTA!#REF!,"AAAAAD53/Q0=")</f>
        <v>#REF!</v>
      </c>
      <c r="O2" t="e">
        <f>IF(ENCUESTA!#REF!,"AAAAAD53/Q4=",0)</f>
        <v>#REF!</v>
      </c>
      <c r="P2" t="e">
        <f>AND(ENCUESTA!#REF!,"AAAAAD53/Q8=")</f>
        <v>#REF!</v>
      </c>
      <c r="Q2" t="e">
        <f>AND(ENCUESTA!#REF!,"AAAAAD53/RA=")</f>
        <v>#REF!</v>
      </c>
      <c r="R2" t="e">
        <f>AND(ENCUESTA!#REF!,"AAAAAD53/RE=")</f>
        <v>#REF!</v>
      </c>
      <c r="S2" t="e">
        <f>AND(ENCUESTA!#REF!,"AAAAAD53/RI=")</f>
        <v>#REF!</v>
      </c>
      <c r="T2" t="e">
        <f>AND(ENCUESTA!#REF!,"AAAAAD53/RM=")</f>
        <v>#REF!</v>
      </c>
      <c r="U2" t="e">
        <f>AND(ENCUESTA!#REF!,"AAAAAD53/RQ=")</f>
        <v>#REF!</v>
      </c>
      <c r="V2" t="e">
        <f>AND(ENCUESTA!#REF!,"AAAAAD53/RU=")</f>
        <v>#REF!</v>
      </c>
      <c r="W2" t="e">
        <f>AND(ENCUESTA!#REF!,"AAAAAD53/RY=")</f>
        <v>#REF!</v>
      </c>
      <c r="X2" t="e">
        <f>AND(ENCUESTA!#REF!,"AAAAAD53/Rc=")</f>
        <v>#REF!</v>
      </c>
      <c r="Y2">
        <f>IF(ENCUESTA!25:25,"AAAAAD53/Rg=",0)</f>
        <v>0</v>
      </c>
      <c r="Z2" t="e">
        <f>AND(ENCUESTA!A25,"AAAAAD53/Rk=")</f>
        <v>#VALUE!</v>
      </c>
      <c r="AA2" t="e">
        <f>AND(ENCUESTA!B25,"AAAAAD53/Ro=")</f>
        <v>#VALUE!</v>
      </c>
      <c r="AB2" t="e">
        <f>AND(ENCUESTA!C25,"AAAAAD53/Rs=")</f>
        <v>#VALUE!</v>
      </c>
      <c r="AC2" t="e">
        <f>AND(ENCUESTA!D25,"AAAAAD53/Rw=")</f>
        <v>#VALUE!</v>
      </c>
      <c r="AD2" t="e">
        <f>AND(ENCUESTA!E25,"AAAAAD53/R0=")</f>
        <v>#VALUE!</v>
      </c>
      <c r="AE2" t="e">
        <f>AND(ENCUESTA!F25,"AAAAAD53/R4=")</f>
        <v>#VALUE!</v>
      </c>
      <c r="AF2" t="e">
        <f>AND(ENCUESTA!G25,"AAAAAD53/R8=")</f>
        <v>#VALUE!</v>
      </c>
      <c r="AG2" t="e">
        <f>AND(ENCUESTA!H25,"AAAAAD53/SA=")</f>
        <v>#VALUE!</v>
      </c>
      <c r="AH2" t="e">
        <f>AND(ENCUESTA!I25,"AAAAAD53/SE=")</f>
        <v>#VALUE!</v>
      </c>
      <c r="AI2">
        <f>IF(ENCUESTA!26:26,"AAAAAD53/SI=",0)</f>
        <v>0</v>
      </c>
      <c r="AJ2" t="e">
        <f>AND(ENCUESTA!A26,"AAAAAD53/SM=")</f>
        <v>#VALUE!</v>
      </c>
      <c r="AK2" t="e">
        <f>AND(ENCUESTA!B26,"AAAAAD53/SQ=")</f>
        <v>#VALUE!</v>
      </c>
      <c r="AL2" t="e">
        <f>AND(ENCUESTA!C26,"AAAAAD53/SU=")</f>
        <v>#VALUE!</v>
      </c>
      <c r="AM2" t="e">
        <f>AND(ENCUESTA!D26,"AAAAAD53/SY=")</f>
        <v>#VALUE!</v>
      </c>
      <c r="AN2" t="e">
        <f>AND(ENCUESTA!E26,"AAAAAD53/Sc=")</f>
        <v>#VALUE!</v>
      </c>
      <c r="AO2" t="e">
        <f>AND(ENCUESTA!F26,"AAAAAD53/Sg=")</f>
        <v>#VALUE!</v>
      </c>
      <c r="AP2" t="e">
        <f>AND(ENCUESTA!G26,"AAAAAD53/Sk=")</f>
        <v>#VALUE!</v>
      </c>
      <c r="AQ2" t="e">
        <f>AND(ENCUESTA!H26,"AAAAAD53/So=")</f>
        <v>#VALUE!</v>
      </c>
      <c r="AR2" t="e">
        <f>AND(ENCUESTA!I26,"AAAAAD53/Ss=")</f>
        <v>#VALUE!</v>
      </c>
      <c r="AS2">
        <f>IF(ENCUESTA!27:27,"AAAAAD53/Sw=",0)</f>
        <v>0</v>
      </c>
      <c r="AT2" t="e">
        <f>AND(ENCUESTA!A27,"AAAAAD53/S0=")</f>
        <v>#VALUE!</v>
      </c>
      <c r="AU2" t="e">
        <f>AND(ENCUESTA!B27,"AAAAAD53/S4=")</f>
        <v>#VALUE!</v>
      </c>
      <c r="AV2" t="e">
        <f>AND(ENCUESTA!C27,"AAAAAD53/S8=")</f>
        <v>#VALUE!</v>
      </c>
      <c r="AW2" t="e">
        <f>AND(ENCUESTA!D27,"AAAAAD53/TA=")</f>
        <v>#VALUE!</v>
      </c>
      <c r="AX2" t="e">
        <f>AND(ENCUESTA!E27,"AAAAAD53/TE=")</f>
        <v>#VALUE!</v>
      </c>
      <c r="AY2" t="e">
        <f>AND(ENCUESTA!F27,"AAAAAD53/TI=")</f>
        <v>#VALUE!</v>
      </c>
      <c r="AZ2" t="e">
        <f>AND(ENCUESTA!G27,"AAAAAD53/TM=")</f>
        <v>#VALUE!</v>
      </c>
      <c r="BA2" t="e">
        <f>AND(ENCUESTA!H27,"AAAAAD53/TQ=")</f>
        <v>#VALUE!</v>
      </c>
      <c r="BB2" t="e">
        <f>AND(ENCUESTA!I27,"AAAAAD53/TU=")</f>
        <v>#VALUE!</v>
      </c>
      <c r="BC2">
        <f>IF(ENCUESTA!28:28,"AAAAAD53/TY=",0)</f>
        <v>0</v>
      </c>
      <c r="BD2" t="e">
        <f>AND(ENCUESTA!A28,"AAAAAD53/Tc=")</f>
        <v>#VALUE!</v>
      </c>
      <c r="BE2" t="e">
        <f>AND(ENCUESTA!B28,"AAAAAD53/Tg=")</f>
        <v>#VALUE!</v>
      </c>
      <c r="BF2" t="e">
        <f>AND(ENCUESTA!C28,"AAAAAD53/Tk=")</f>
        <v>#VALUE!</v>
      </c>
      <c r="BG2" t="e">
        <f>AND(ENCUESTA!D28,"AAAAAD53/To=")</f>
        <v>#VALUE!</v>
      </c>
      <c r="BH2" t="e">
        <f>AND(ENCUESTA!E28,"AAAAAD53/Ts=")</f>
        <v>#VALUE!</v>
      </c>
      <c r="BI2" t="e">
        <f>AND(ENCUESTA!F28,"AAAAAD53/Tw=")</f>
        <v>#VALUE!</v>
      </c>
      <c r="BJ2" t="e">
        <f>AND(ENCUESTA!G28,"AAAAAD53/T0=")</f>
        <v>#VALUE!</v>
      </c>
      <c r="BK2" t="e">
        <f>AND(ENCUESTA!H28,"AAAAAD53/T4=")</f>
        <v>#VALUE!</v>
      </c>
      <c r="BL2" t="e">
        <f>AND(ENCUESTA!I28,"AAAAAD53/T8=")</f>
        <v>#VALUE!</v>
      </c>
      <c r="BM2">
        <f>IF(ENCUESTA!29:29,"AAAAAD53/UA=",0)</f>
        <v>0</v>
      </c>
      <c r="BN2" t="e">
        <f>AND(ENCUESTA!A29,"AAAAAD53/UE=")</f>
        <v>#VALUE!</v>
      </c>
      <c r="BO2" t="e">
        <f>AND(ENCUESTA!B29,"AAAAAD53/UI=")</f>
        <v>#VALUE!</v>
      </c>
      <c r="BP2" t="e">
        <f>AND(ENCUESTA!C29,"AAAAAD53/UM=")</f>
        <v>#VALUE!</v>
      </c>
      <c r="BQ2" t="e">
        <f>AND(ENCUESTA!D29,"AAAAAD53/UQ=")</f>
        <v>#VALUE!</v>
      </c>
      <c r="BR2" t="e">
        <f>AND(ENCUESTA!E29,"AAAAAD53/UU=")</f>
        <v>#VALUE!</v>
      </c>
      <c r="BS2" t="e">
        <f>AND(ENCUESTA!F29,"AAAAAD53/UY=")</f>
        <v>#VALUE!</v>
      </c>
      <c r="BT2" t="e">
        <f>AND(ENCUESTA!G29,"AAAAAD53/Uc=")</f>
        <v>#VALUE!</v>
      </c>
      <c r="BU2" t="e">
        <f>AND(ENCUESTA!H29,"AAAAAD53/Ug=")</f>
        <v>#VALUE!</v>
      </c>
      <c r="BV2" t="e">
        <f>AND(ENCUESTA!I29,"AAAAAD53/Uk=")</f>
        <v>#VALUE!</v>
      </c>
      <c r="BW2">
        <f>IF(ENCUESTA!30:30,"AAAAAD53/Uo=",0)</f>
        <v>0</v>
      </c>
      <c r="BX2" t="e">
        <f>AND(ENCUESTA!A30,"AAAAAD53/Us=")</f>
        <v>#VALUE!</v>
      </c>
      <c r="BY2" t="e">
        <f>AND(ENCUESTA!B30,"AAAAAD53/Uw=")</f>
        <v>#VALUE!</v>
      </c>
      <c r="BZ2" t="e">
        <f>AND(ENCUESTA!C30,"AAAAAD53/U0=")</f>
        <v>#VALUE!</v>
      </c>
      <c r="CA2" t="e">
        <f>AND(ENCUESTA!D30,"AAAAAD53/U4=")</f>
        <v>#VALUE!</v>
      </c>
      <c r="CB2" t="e">
        <f>AND(ENCUESTA!E30,"AAAAAD53/U8=")</f>
        <v>#VALUE!</v>
      </c>
      <c r="CC2" t="e">
        <f>AND(ENCUESTA!F30,"AAAAAD53/VA=")</f>
        <v>#VALUE!</v>
      </c>
      <c r="CD2" t="e">
        <f>AND(ENCUESTA!G30,"AAAAAD53/VE=")</f>
        <v>#VALUE!</v>
      </c>
      <c r="CE2" t="e">
        <f>AND(ENCUESTA!H30,"AAAAAD53/VI=")</f>
        <v>#VALUE!</v>
      </c>
      <c r="CF2" t="e">
        <f>AND(ENCUESTA!I30,"AAAAAD53/VM=")</f>
        <v>#VALUE!</v>
      </c>
      <c r="CG2" t="e">
        <f>IF(ENCUESTA!#REF!,"AAAAAD53/VQ=",0)</f>
        <v>#REF!</v>
      </c>
      <c r="CH2" t="e">
        <f>AND(ENCUESTA!#REF!,"AAAAAD53/VU=")</f>
        <v>#REF!</v>
      </c>
      <c r="CI2" t="e">
        <f>AND(ENCUESTA!#REF!,"AAAAAD53/VY=")</f>
        <v>#REF!</v>
      </c>
      <c r="CJ2" t="e">
        <f>AND(ENCUESTA!#REF!,"AAAAAD53/Vc=")</f>
        <v>#REF!</v>
      </c>
      <c r="CK2" t="e">
        <f>AND(ENCUESTA!#REF!,"AAAAAD53/Vg=")</f>
        <v>#REF!</v>
      </c>
      <c r="CL2" t="e">
        <f>AND(ENCUESTA!#REF!,"AAAAAD53/Vk=")</f>
        <v>#REF!</v>
      </c>
      <c r="CM2" t="e">
        <f>AND(ENCUESTA!#REF!,"AAAAAD53/Vo=")</f>
        <v>#REF!</v>
      </c>
      <c r="CN2" t="e">
        <f>AND(ENCUESTA!#REF!,"AAAAAD53/Vs=")</f>
        <v>#REF!</v>
      </c>
      <c r="CO2" t="e">
        <f>AND(ENCUESTA!#REF!,"AAAAAD53/Vw=")</f>
        <v>#REF!</v>
      </c>
      <c r="CP2" t="e">
        <f>AND(ENCUESTA!#REF!,"AAAAAD53/V0=")</f>
        <v>#REF!</v>
      </c>
      <c r="CQ2" t="e">
        <f>IF(ENCUESTA!#REF!,"AAAAAD53/V4=",0)</f>
        <v>#REF!</v>
      </c>
      <c r="CR2" t="e">
        <f>AND(ENCUESTA!#REF!,"AAAAAD53/V8=")</f>
        <v>#REF!</v>
      </c>
      <c r="CS2" t="e">
        <f>AND(ENCUESTA!#REF!,"AAAAAD53/WA=")</f>
        <v>#REF!</v>
      </c>
      <c r="CT2" t="e">
        <f>AND(ENCUESTA!#REF!,"AAAAAD53/WE=")</f>
        <v>#REF!</v>
      </c>
      <c r="CU2" t="e">
        <f>AND(ENCUESTA!#REF!,"AAAAAD53/WI=")</f>
        <v>#REF!</v>
      </c>
      <c r="CV2" t="e">
        <f>AND(ENCUESTA!#REF!,"AAAAAD53/WM=")</f>
        <v>#REF!</v>
      </c>
      <c r="CW2" t="e">
        <f>AND(ENCUESTA!#REF!,"AAAAAD53/WQ=")</f>
        <v>#REF!</v>
      </c>
      <c r="CX2" t="e">
        <f>AND(ENCUESTA!#REF!,"AAAAAD53/WU=")</f>
        <v>#REF!</v>
      </c>
      <c r="CY2" t="e">
        <f>AND(ENCUESTA!#REF!,"AAAAAD53/WY=")</f>
        <v>#REF!</v>
      </c>
      <c r="CZ2" t="e">
        <f>AND(ENCUESTA!#REF!,"AAAAAD53/Wc=")</f>
        <v>#REF!</v>
      </c>
      <c r="DA2">
        <f>IF(ENCUESTA!31:31,"AAAAAD53/Wg=",0)</f>
        <v>0</v>
      </c>
      <c r="DB2" t="e">
        <f>AND(ENCUESTA!A31,"AAAAAD53/Wk=")</f>
        <v>#VALUE!</v>
      </c>
      <c r="DC2" t="e">
        <f>AND(ENCUESTA!B31,"AAAAAD53/Wo=")</f>
        <v>#VALUE!</v>
      </c>
      <c r="DD2" t="e">
        <f>AND(ENCUESTA!C31,"AAAAAD53/Ws=")</f>
        <v>#VALUE!</v>
      </c>
      <c r="DE2" t="e">
        <f>AND(ENCUESTA!D31,"AAAAAD53/Ww=")</f>
        <v>#VALUE!</v>
      </c>
      <c r="DF2" t="e">
        <f>AND(ENCUESTA!E31,"AAAAAD53/W0=")</f>
        <v>#VALUE!</v>
      </c>
      <c r="DG2" t="e">
        <f>AND(ENCUESTA!F31,"AAAAAD53/W4=")</f>
        <v>#VALUE!</v>
      </c>
      <c r="DH2" t="e">
        <f>AND(ENCUESTA!G31,"AAAAAD53/W8=")</f>
        <v>#VALUE!</v>
      </c>
      <c r="DI2" t="e">
        <f>AND(ENCUESTA!H31,"AAAAAD53/XA=")</f>
        <v>#VALUE!</v>
      </c>
      <c r="DJ2" t="e">
        <f>AND(ENCUESTA!I31,"AAAAAD53/XE=")</f>
        <v>#VALUE!</v>
      </c>
      <c r="DK2">
        <f>IF(ENCUESTA!32:32,"AAAAAD53/XI=",0)</f>
        <v>0</v>
      </c>
      <c r="DL2" t="e">
        <f>AND(ENCUESTA!A32,"AAAAAD53/XM=")</f>
        <v>#VALUE!</v>
      </c>
      <c r="DM2" t="e">
        <f>AND(ENCUESTA!B32,"AAAAAD53/XQ=")</f>
        <v>#VALUE!</v>
      </c>
      <c r="DN2" t="e">
        <f>AND(ENCUESTA!C32,"AAAAAD53/XU=")</f>
        <v>#VALUE!</v>
      </c>
      <c r="DO2" t="e">
        <f>AND(ENCUESTA!D32,"AAAAAD53/XY=")</f>
        <v>#VALUE!</v>
      </c>
      <c r="DP2" t="e">
        <f>AND(ENCUESTA!E32,"AAAAAD53/Xc=")</f>
        <v>#VALUE!</v>
      </c>
      <c r="DQ2" t="e">
        <f>AND(ENCUESTA!F32,"AAAAAD53/Xg=")</f>
        <v>#VALUE!</v>
      </c>
      <c r="DR2" t="e">
        <f>AND(ENCUESTA!G32,"AAAAAD53/Xk=")</f>
        <v>#VALUE!</v>
      </c>
      <c r="DS2" t="e">
        <f>AND(ENCUESTA!H32,"AAAAAD53/Xo=")</f>
        <v>#VALUE!</v>
      </c>
      <c r="DT2" t="e">
        <f>AND(ENCUESTA!I32,"AAAAAD53/Xs=")</f>
        <v>#VALUE!</v>
      </c>
      <c r="DU2">
        <f>IF(ENCUESTA!33:33,"AAAAAD53/Xw=",0)</f>
        <v>0</v>
      </c>
      <c r="DV2" t="e">
        <f>AND(ENCUESTA!A33,"AAAAAD53/X0=")</f>
        <v>#VALUE!</v>
      </c>
      <c r="DW2" t="e">
        <f>AND(ENCUESTA!B33,"AAAAAD53/X4=")</f>
        <v>#VALUE!</v>
      </c>
      <c r="DX2" t="e">
        <f>AND(ENCUESTA!C33,"AAAAAD53/X8=")</f>
        <v>#VALUE!</v>
      </c>
      <c r="DY2" t="e">
        <f>AND(ENCUESTA!D33,"AAAAAD53/YA=")</f>
        <v>#VALUE!</v>
      </c>
      <c r="DZ2" t="e">
        <f>AND(ENCUESTA!E33,"AAAAAD53/YE=")</f>
        <v>#VALUE!</v>
      </c>
      <c r="EA2" t="e">
        <f>AND(ENCUESTA!F33,"AAAAAD53/YI=")</f>
        <v>#VALUE!</v>
      </c>
      <c r="EB2" t="e">
        <f>AND(ENCUESTA!G33,"AAAAAD53/YM=")</f>
        <v>#VALUE!</v>
      </c>
      <c r="EC2" t="e">
        <f>AND(ENCUESTA!H33,"AAAAAD53/YQ=")</f>
        <v>#VALUE!</v>
      </c>
      <c r="ED2" t="e">
        <f>AND(ENCUESTA!I33,"AAAAAD53/YU=")</f>
        <v>#VALUE!</v>
      </c>
      <c r="EE2">
        <f>IF(ENCUESTA!34:34,"AAAAAD53/YY=",0)</f>
        <v>0</v>
      </c>
      <c r="EF2" t="e">
        <f>AND(ENCUESTA!A34,"AAAAAD53/Yc=")</f>
        <v>#VALUE!</v>
      </c>
      <c r="EG2" t="e">
        <f>AND(ENCUESTA!B34,"AAAAAD53/Yg=")</f>
        <v>#VALUE!</v>
      </c>
      <c r="EH2" t="e">
        <f>AND(ENCUESTA!C34,"AAAAAD53/Yk=")</f>
        <v>#VALUE!</v>
      </c>
      <c r="EI2" t="e">
        <f>AND(ENCUESTA!D34,"AAAAAD53/Yo=")</f>
        <v>#VALUE!</v>
      </c>
      <c r="EJ2" t="e">
        <f>AND(ENCUESTA!E34,"AAAAAD53/Ys=")</f>
        <v>#VALUE!</v>
      </c>
      <c r="EK2" t="e">
        <f>AND(ENCUESTA!F34,"AAAAAD53/Yw=")</f>
        <v>#VALUE!</v>
      </c>
      <c r="EL2" t="e">
        <f>AND(ENCUESTA!G34,"AAAAAD53/Y0=")</f>
        <v>#VALUE!</v>
      </c>
      <c r="EM2" t="e">
        <f>AND(ENCUESTA!H34,"AAAAAD53/Y4=")</f>
        <v>#VALUE!</v>
      </c>
      <c r="EN2" t="e">
        <f>AND(ENCUESTA!I34,"AAAAAD53/Y8=")</f>
        <v>#VALUE!</v>
      </c>
      <c r="EO2">
        <f>IF(ENCUESTA!35:35,"AAAAAD53/ZA=",0)</f>
        <v>0</v>
      </c>
      <c r="EP2" t="e">
        <f>AND(ENCUESTA!A35,"AAAAAD53/ZE=")</f>
        <v>#VALUE!</v>
      </c>
      <c r="EQ2" t="e">
        <f>AND(ENCUESTA!B35,"AAAAAD53/ZI=")</f>
        <v>#VALUE!</v>
      </c>
      <c r="ER2" t="e">
        <f>AND(ENCUESTA!C35,"AAAAAD53/ZM=")</f>
        <v>#VALUE!</v>
      </c>
      <c r="ES2" t="e">
        <f>AND(ENCUESTA!D35,"AAAAAD53/ZQ=")</f>
        <v>#VALUE!</v>
      </c>
      <c r="ET2" t="e">
        <f>AND(ENCUESTA!E35,"AAAAAD53/ZU=")</f>
        <v>#VALUE!</v>
      </c>
      <c r="EU2" t="e">
        <f>AND(ENCUESTA!F35,"AAAAAD53/ZY=")</f>
        <v>#VALUE!</v>
      </c>
      <c r="EV2" t="e">
        <f>AND(ENCUESTA!G35,"AAAAAD53/Zc=")</f>
        <v>#VALUE!</v>
      </c>
      <c r="EW2" t="e">
        <f>AND(ENCUESTA!H35,"AAAAAD53/Zg=")</f>
        <v>#VALUE!</v>
      </c>
      <c r="EX2" t="e">
        <f>AND(ENCUESTA!I35,"AAAAAD53/Zk=")</f>
        <v>#VALUE!</v>
      </c>
      <c r="EY2">
        <f>IF(ENCUESTA!36:36,"AAAAAD53/Zo=",0)</f>
        <v>0</v>
      </c>
      <c r="EZ2" t="e">
        <f>AND(ENCUESTA!A36,"AAAAAD53/Zs=")</f>
        <v>#VALUE!</v>
      </c>
      <c r="FA2" t="e">
        <f>AND(ENCUESTA!B36,"AAAAAD53/Zw=")</f>
        <v>#VALUE!</v>
      </c>
      <c r="FB2" t="e">
        <f>AND(ENCUESTA!C36,"AAAAAD53/Z0=")</f>
        <v>#VALUE!</v>
      </c>
      <c r="FC2" t="e">
        <f>AND(ENCUESTA!D36,"AAAAAD53/Z4=")</f>
        <v>#VALUE!</v>
      </c>
      <c r="FD2" t="e">
        <f>AND(ENCUESTA!E36,"AAAAAD53/Z8=")</f>
        <v>#VALUE!</v>
      </c>
      <c r="FE2" t="e">
        <f>AND(ENCUESTA!F36,"AAAAAD53/aA=")</f>
        <v>#VALUE!</v>
      </c>
      <c r="FF2" t="e">
        <f>AND(ENCUESTA!G36,"AAAAAD53/aE=")</f>
        <v>#VALUE!</v>
      </c>
      <c r="FG2" t="e">
        <f>AND(ENCUESTA!H36,"AAAAAD53/aI=")</f>
        <v>#VALUE!</v>
      </c>
      <c r="FH2" t="e">
        <f>AND(ENCUESTA!I36,"AAAAAD53/aM=")</f>
        <v>#VALUE!</v>
      </c>
      <c r="FI2">
        <f>IF(ENCUESTA!37:37,"AAAAAD53/aQ=",0)</f>
        <v>0</v>
      </c>
      <c r="FJ2" t="e">
        <f>AND(ENCUESTA!A37,"AAAAAD53/aU=")</f>
        <v>#VALUE!</v>
      </c>
      <c r="FK2" t="e">
        <f>AND(ENCUESTA!B37,"AAAAAD53/aY=")</f>
        <v>#VALUE!</v>
      </c>
      <c r="FL2" t="e">
        <f>AND(ENCUESTA!C37,"AAAAAD53/ac=")</f>
        <v>#VALUE!</v>
      </c>
      <c r="FM2" t="e">
        <f>AND(ENCUESTA!D37,"AAAAAD53/ag=")</f>
        <v>#VALUE!</v>
      </c>
      <c r="FN2" t="e">
        <f>AND(ENCUESTA!E37,"AAAAAD53/ak=")</f>
        <v>#VALUE!</v>
      </c>
      <c r="FO2" t="e">
        <f>AND(ENCUESTA!F37,"AAAAAD53/ao=")</f>
        <v>#VALUE!</v>
      </c>
      <c r="FP2" t="e">
        <f>AND(ENCUESTA!G37,"AAAAAD53/as=")</f>
        <v>#VALUE!</v>
      </c>
      <c r="FQ2" t="e">
        <f>AND(ENCUESTA!H37,"AAAAAD53/aw=")</f>
        <v>#VALUE!</v>
      </c>
      <c r="FR2" t="e">
        <f>AND(ENCUESTA!I37,"AAAAAD53/a0=")</f>
        <v>#VALUE!</v>
      </c>
      <c r="FS2">
        <f>IF(ENCUESTA!38:38,"AAAAAD53/a4=",0)</f>
        <v>0</v>
      </c>
      <c r="FT2" t="e">
        <f>AND(ENCUESTA!A38,"AAAAAD53/a8=")</f>
        <v>#VALUE!</v>
      </c>
      <c r="FU2" t="e">
        <f>AND(ENCUESTA!B38,"AAAAAD53/bA=")</f>
        <v>#VALUE!</v>
      </c>
      <c r="FV2" t="e">
        <f>AND(ENCUESTA!C38,"AAAAAD53/bE=")</f>
        <v>#VALUE!</v>
      </c>
      <c r="FW2" t="e">
        <f>AND(ENCUESTA!D38,"AAAAAD53/bI=")</f>
        <v>#VALUE!</v>
      </c>
      <c r="FX2" t="e">
        <f>AND(ENCUESTA!E38,"AAAAAD53/bM=")</f>
        <v>#VALUE!</v>
      </c>
      <c r="FY2" t="e">
        <f>AND(ENCUESTA!F38,"AAAAAD53/bQ=")</f>
        <v>#VALUE!</v>
      </c>
      <c r="FZ2" t="e">
        <f>AND(ENCUESTA!G38,"AAAAAD53/bU=")</f>
        <v>#VALUE!</v>
      </c>
      <c r="GA2" t="e">
        <f>AND(ENCUESTA!H38,"AAAAAD53/bY=")</f>
        <v>#VALUE!</v>
      </c>
      <c r="GB2" t="e">
        <f>AND(ENCUESTA!I38,"AAAAAD53/bc=")</f>
        <v>#VALUE!</v>
      </c>
      <c r="GC2">
        <f>IF(ENCUESTA!39:39,"AAAAAD53/bg=",0)</f>
        <v>0</v>
      </c>
      <c r="GD2" t="e">
        <f>AND(ENCUESTA!A39,"AAAAAD53/bk=")</f>
        <v>#VALUE!</v>
      </c>
      <c r="GE2" t="e">
        <f>AND(ENCUESTA!B39,"AAAAAD53/bo=")</f>
        <v>#VALUE!</v>
      </c>
      <c r="GF2" t="e">
        <f>AND(ENCUESTA!C39,"AAAAAD53/bs=")</f>
        <v>#VALUE!</v>
      </c>
      <c r="GG2" t="e">
        <f>AND(ENCUESTA!D39,"AAAAAD53/bw=")</f>
        <v>#VALUE!</v>
      </c>
      <c r="GH2" t="e">
        <f>AND(ENCUESTA!E39,"AAAAAD53/b0=")</f>
        <v>#VALUE!</v>
      </c>
      <c r="GI2" t="e">
        <f>AND(ENCUESTA!F39,"AAAAAD53/b4=")</f>
        <v>#VALUE!</v>
      </c>
      <c r="GJ2" t="e">
        <f>AND(ENCUESTA!G39,"AAAAAD53/b8=")</f>
        <v>#VALUE!</v>
      </c>
      <c r="GK2" t="e">
        <f>AND(ENCUESTA!H39,"AAAAAD53/cA=")</f>
        <v>#VALUE!</v>
      </c>
      <c r="GL2" t="e">
        <f>AND(ENCUESTA!I39,"AAAAAD53/cE=")</f>
        <v>#VALUE!</v>
      </c>
      <c r="GM2">
        <f>IF(ENCUESTA!40:40,"AAAAAD53/cI=",0)</f>
        <v>0</v>
      </c>
      <c r="GN2" t="e">
        <f>AND(ENCUESTA!A40,"AAAAAD53/cM=")</f>
        <v>#VALUE!</v>
      </c>
      <c r="GO2" t="e">
        <f>AND(ENCUESTA!B40,"AAAAAD53/cQ=")</f>
        <v>#VALUE!</v>
      </c>
      <c r="GP2" t="e">
        <f>AND(ENCUESTA!C40,"AAAAAD53/cU=")</f>
        <v>#VALUE!</v>
      </c>
      <c r="GQ2" t="e">
        <f>AND(ENCUESTA!D40,"AAAAAD53/cY=")</f>
        <v>#VALUE!</v>
      </c>
      <c r="GR2" t="e">
        <f>AND(ENCUESTA!E40,"AAAAAD53/cc=")</f>
        <v>#VALUE!</v>
      </c>
      <c r="GS2" t="e">
        <f>AND(ENCUESTA!F40,"AAAAAD53/cg=")</f>
        <v>#VALUE!</v>
      </c>
      <c r="GT2" t="e">
        <f>AND(ENCUESTA!G40,"AAAAAD53/ck=")</f>
        <v>#VALUE!</v>
      </c>
      <c r="GU2" t="e">
        <f>AND(ENCUESTA!H40,"AAAAAD53/co=")</f>
        <v>#VALUE!</v>
      </c>
      <c r="GV2" t="e">
        <f>AND(ENCUESTA!I40,"AAAAAD53/cs=")</f>
        <v>#VALUE!</v>
      </c>
      <c r="GW2" t="e">
        <f>IF(ENCUESTA!#REF!,"AAAAAD53/cw=",0)</f>
        <v>#REF!</v>
      </c>
      <c r="GX2" t="e">
        <f>AND(ENCUESTA!#REF!,"AAAAAD53/c0=")</f>
        <v>#REF!</v>
      </c>
      <c r="GY2" t="e">
        <f>AND(ENCUESTA!#REF!,"AAAAAD53/c4=")</f>
        <v>#REF!</v>
      </c>
      <c r="GZ2" t="e">
        <f>AND(ENCUESTA!#REF!,"AAAAAD53/c8=")</f>
        <v>#REF!</v>
      </c>
      <c r="HA2" t="e">
        <f>AND(ENCUESTA!#REF!,"AAAAAD53/dA=")</f>
        <v>#REF!</v>
      </c>
      <c r="HB2" t="e">
        <f>AND(ENCUESTA!#REF!,"AAAAAD53/dE=")</f>
        <v>#REF!</v>
      </c>
      <c r="HC2" t="e">
        <f>AND(ENCUESTA!#REF!,"AAAAAD53/dI=")</f>
        <v>#REF!</v>
      </c>
      <c r="HD2" t="e">
        <f>AND(ENCUESTA!#REF!,"AAAAAD53/dM=")</f>
        <v>#REF!</v>
      </c>
      <c r="HE2" t="e">
        <f>AND(ENCUESTA!#REF!,"AAAAAD53/dQ=")</f>
        <v>#REF!</v>
      </c>
      <c r="HF2" t="e">
        <f>AND(ENCUESTA!#REF!,"AAAAAD53/dU=")</f>
        <v>#REF!</v>
      </c>
      <c r="HG2">
        <f>IF(ENCUESTA!45:45,"AAAAAD53/dY=",0)</f>
        <v>0</v>
      </c>
      <c r="HH2" t="e">
        <f>AND(ENCUESTA!A45,"AAAAAD53/dc=")</f>
        <v>#VALUE!</v>
      </c>
      <c r="HI2" t="e">
        <f>AND(ENCUESTA!B45,"AAAAAD53/dg=")</f>
        <v>#VALUE!</v>
      </c>
      <c r="HJ2" t="e">
        <f>AND(ENCUESTA!C45,"AAAAAD53/dk=")</f>
        <v>#VALUE!</v>
      </c>
      <c r="HK2" t="e">
        <f>AND(ENCUESTA!D45,"AAAAAD53/do=")</f>
        <v>#VALUE!</v>
      </c>
      <c r="HL2" t="e">
        <f>AND(ENCUESTA!E45,"AAAAAD53/ds=")</f>
        <v>#VALUE!</v>
      </c>
      <c r="HM2" t="e">
        <f>AND(ENCUESTA!F45,"AAAAAD53/dw=")</f>
        <v>#VALUE!</v>
      </c>
      <c r="HN2" t="e">
        <f>AND(ENCUESTA!G45,"AAAAAD53/d0=")</f>
        <v>#VALUE!</v>
      </c>
      <c r="HO2" t="e">
        <f>AND(ENCUESTA!H45,"AAAAAD53/d4=")</f>
        <v>#VALUE!</v>
      </c>
      <c r="HP2" t="e">
        <f>AND(ENCUESTA!I45,"AAAAAD53/d8=")</f>
        <v>#VALUE!</v>
      </c>
      <c r="HQ2">
        <f>IF(ENCUESTA!46:46,"AAAAAD53/eA=",0)</f>
        <v>0</v>
      </c>
      <c r="HR2" t="e">
        <f>AND(ENCUESTA!A46,"AAAAAD53/eE=")</f>
        <v>#VALUE!</v>
      </c>
      <c r="HS2" t="e">
        <f>AND(ENCUESTA!B46,"AAAAAD53/eI=")</f>
        <v>#VALUE!</v>
      </c>
      <c r="HT2" t="e">
        <f>AND(ENCUESTA!C46,"AAAAAD53/eM=")</f>
        <v>#VALUE!</v>
      </c>
      <c r="HU2" t="e">
        <f>AND(ENCUESTA!D46,"AAAAAD53/eQ=")</f>
        <v>#VALUE!</v>
      </c>
      <c r="HV2" t="e">
        <f>AND(ENCUESTA!E46,"AAAAAD53/eU=")</f>
        <v>#VALUE!</v>
      </c>
      <c r="HW2" t="e">
        <f>AND(ENCUESTA!F46,"AAAAAD53/eY=")</f>
        <v>#VALUE!</v>
      </c>
      <c r="HX2" t="e">
        <f>AND(ENCUESTA!G46,"AAAAAD53/ec=")</f>
        <v>#VALUE!</v>
      </c>
      <c r="HY2" t="e">
        <f>AND(ENCUESTA!H46,"AAAAAD53/eg=")</f>
        <v>#VALUE!</v>
      </c>
      <c r="HZ2" t="e">
        <f>AND(ENCUESTA!I46,"AAAAAD53/ek=")</f>
        <v>#VALUE!</v>
      </c>
      <c r="IA2">
        <f>IF(ENCUESTA!47:47,"AAAAAD53/eo=",0)</f>
        <v>0</v>
      </c>
      <c r="IB2" t="e">
        <f>AND(ENCUESTA!A47,"AAAAAD53/es=")</f>
        <v>#VALUE!</v>
      </c>
      <c r="IC2" t="e">
        <f>AND(ENCUESTA!B47,"AAAAAD53/ew=")</f>
        <v>#VALUE!</v>
      </c>
      <c r="ID2" t="e">
        <f>AND(ENCUESTA!C47,"AAAAAD53/e0=")</f>
        <v>#VALUE!</v>
      </c>
      <c r="IE2" t="e">
        <f>AND(ENCUESTA!D47,"AAAAAD53/e4=")</f>
        <v>#VALUE!</v>
      </c>
      <c r="IF2" t="e">
        <f>AND(ENCUESTA!E47,"AAAAAD53/e8=")</f>
        <v>#VALUE!</v>
      </c>
      <c r="IG2" t="e">
        <f>AND(ENCUESTA!F47,"AAAAAD53/fA=")</f>
        <v>#VALUE!</v>
      </c>
      <c r="IH2" t="e">
        <f>AND(ENCUESTA!G47,"AAAAAD53/fE=")</f>
        <v>#VALUE!</v>
      </c>
      <c r="II2" t="e">
        <f>AND(ENCUESTA!H47,"AAAAAD53/fI=")</f>
        <v>#VALUE!</v>
      </c>
      <c r="IJ2" t="e">
        <f>AND(ENCUESTA!I47,"AAAAAD53/fM=")</f>
        <v>#VALUE!</v>
      </c>
      <c r="IK2">
        <f>IF(ENCUESTA!49:49,"AAAAAD53/fQ=",0)</f>
        <v>0</v>
      </c>
      <c r="IL2" t="e">
        <f>AND(ENCUESTA!A48,"AAAAAD53/fU=")</f>
        <v>#VALUE!</v>
      </c>
      <c r="IM2" t="e">
        <f>AND(ENCUESTA!B48,"AAAAAD53/fY=")</f>
        <v>#VALUE!</v>
      </c>
      <c r="IN2" t="e">
        <f>AND(ENCUESTA!C48,"AAAAAD53/fc=")</f>
        <v>#VALUE!</v>
      </c>
      <c r="IO2" t="e">
        <f>AND(ENCUESTA!D48,"AAAAAD53/fg=")</f>
        <v>#VALUE!</v>
      </c>
      <c r="IP2" t="e">
        <f>AND(ENCUESTA!E48,"AAAAAD53/fk=")</f>
        <v>#VALUE!</v>
      </c>
      <c r="IQ2" t="e">
        <f>AND(ENCUESTA!F48,"AAAAAD53/fo=")</f>
        <v>#VALUE!</v>
      </c>
      <c r="IR2" t="e">
        <f>AND(ENCUESTA!G48,"AAAAAD53/fs=")</f>
        <v>#VALUE!</v>
      </c>
      <c r="IS2" t="e">
        <f>AND(ENCUESTA!H48,"AAAAAD53/fw=")</f>
        <v>#VALUE!</v>
      </c>
      <c r="IT2" t="e">
        <f>AND(ENCUESTA!I49,"AAAAAD53/f0=")</f>
        <v>#VALUE!</v>
      </c>
      <c r="IU2">
        <f>IF(ENCUESTA!51:51,"AAAAAD53/f4=",0)</f>
        <v>0</v>
      </c>
      <c r="IV2" t="e">
        <f>AND(ENCUESTA!A51,"AAAAAD53/f8=")</f>
        <v>#VALUE!</v>
      </c>
    </row>
    <row r="3" spans="1:256" x14ac:dyDescent="0.2">
      <c r="A3" t="e">
        <f>AND(ENCUESTA!B51,"AAAAACvt9wA=")</f>
        <v>#VALUE!</v>
      </c>
      <c r="B3" t="e">
        <f>AND(ENCUESTA!C51,"AAAAACvt9wE=")</f>
        <v>#VALUE!</v>
      </c>
      <c r="C3" t="e">
        <f>AND(ENCUESTA!D51,"AAAAACvt9wI=")</f>
        <v>#VALUE!</v>
      </c>
      <c r="D3" t="e">
        <f>AND(ENCUESTA!E51,"AAAAACvt9wM=")</f>
        <v>#VALUE!</v>
      </c>
      <c r="E3" t="e">
        <f>AND(ENCUESTA!F51,"AAAAACvt9wQ=")</f>
        <v>#VALUE!</v>
      </c>
      <c r="F3" t="e">
        <f>AND(ENCUESTA!G51,"AAAAACvt9wU=")</f>
        <v>#VALUE!</v>
      </c>
      <c r="G3" t="e">
        <f>AND(ENCUESTA!H51,"AAAAACvt9wY=")</f>
        <v>#VALUE!</v>
      </c>
      <c r="H3" t="e">
        <f>AND(ENCUESTA!I51,"AAAAACvt9wc=")</f>
        <v>#VALUE!</v>
      </c>
      <c r="I3">
        <f>IF(ENCUESTA!52:52,"AAAAACvt9wg=",0)</f>
        <v>0</v>
      </c>
      <c r="J3" t="e">
        <f>AND(ENCUESTA!A52,"AAAAACvt9wk=")</f>
        <v>#VALUE!</v>
      </c>
      <c r="K3" t="e">
        <f>AND(ENCUESTA!B52,"AAAAACvt9wo=")</f>
        <v>#VALUE!</v>
      </c>
      <c r="L3" t="e">
        <f>AND(ENCUESTA!C52,"AAAAACvt9ws=")</f>
        <v>#VALUE!</v>
      </c>
      <c r="M3" t="e">
        <f>AND(ENCUESTA!D52,"AAAAACvt9ww=")</f>
        <v>#VALUE!</v>
      </c>
      <c r="N3" t="e">
        <f>AND(ENCUESTA!E52,"AAAAACvt9w0=")</f>
        <v>#VALUE!</v>
      </c>
      <c r="O3" t="e">
        <f>AND(ENCUESTA!F52,"AAAAACvt9w4=")</f>
        <v>#VALUE!</v>
      </c>
      <c r="P3" t="e">
        <f>AND(ENCUESTA!G52,"AAAAACvt9w8=")</f>
        <v>#VALUE!</v>
      </c>
      <c r="Q3" t="e">
        <f>AND(ENCUESTA!H52,"AAAAACvt9xA=")</f>
        <v>#VALUE!</v>
      </c>
      <c r="R3" t="e">
        <f>AND(ENCUESTA!I52,"AAAAACvt9xE=")</f>
        <v>#VALUE!</v>
      </c>
      <c r="S3" t="e">
        <f>IF(ENCUESTA!A:A,"AAAAACvt9xI=",0)</f>
        <v>#VALUE!</v>
      </c>
      <c r="T3" t="e">
        <f>IF(ENCUESTA!B:B,"AAAAACvt9xM=",0)</f>
        <v>#VALUE!</v>
      </c>
      <c r="U3">
        <f>IF(ENCUESTA!C:C,"AAAAACvt9xQ=",0)</f>
        <v>0</v>
      </c>
      <c r="V3">
        <f>IF(ENCUESTA!D:D,"AAAAACvt9xU=",0)</f>
        <v>0</v>
      </c>
      <c r="W3" t="e">
        <f>IF(ENCUESTA!E:E,"AAAAACvt9xY=",0)</f>
        <v>#VALUE!</v>
      </c>
      <c r="X3" t="e">
        <f>IF(ENCUESTA!F:F,"AAAAACvt9xc=",0)</f>
        <v>#VALUE!</v>
      </c>
      <c r="Y3">
        <f>IF(ENCUESTA!G:G,"AAAAACvt9xg=",0)</f>
        <v>0</v>
      </c>
      <c r="Z3">
        <f>IF(ENCUESTA!H:H,"AAAAACvt9xk=",0)</f>
        <v>0</v>
      </c>
      <c r="AA3">
        <f>IF(ENCUESTA!I:I,"AAAAACvt9xo=",0)</f>
        <v>0</v>
      </c>
      <c r="AB3" t="e">
        <f>IF(#REF!,"AAAAACvt9xs=",0)</f>
        <v>#REF!</v>
      </c>
      <c r="AC3" t="e">
        <f>AND(#REF!,"AAAAACvt9xw=")</f>
        <v>#REF!</v>
      </c>
      <c r="AD3" t="e">
        <f>AND(#REF!,"AAAAACvt9x0=")</f>
        <v>#REF!</v>
      </c>
      <c r="AE3" t="e">
        <f>AND(#REF!,"AAAAACvt9x4=")</f>
        <v>#REF!</v>
      </c>
      <c r="AF3" t="e">
        <f>AND(#REF!,"AAAAACvt9x8=")</f>
        <v>#REF!</v>
      </c>
      <c r="AG3" t="e">
        <f>AND(#REF!,"AAAAACvt9yA=")</f>
        <v>#REF!</v>
      </c>
      <c r="AH3" t="e">
        <f>AND(#REF!,"AAAAACvt9yE=")</f>
        <v>#REF!</v>
      </c>
      <c r="AI3" t="e">
        <f>AND(#REF!,"AAAAACvt9yI=")</f>
        <v>#REF!</v>
      </c>
      <c r="AJ3" t="e">
        <f>AND(#REF!,"AAAAACvt9yM=")</f>
        <v>#REF!</v>
      </c>
      <c r="AK3" t="e">
        <f>AND(#REF!,"AAAAACvt9yQ=")</f>
        <v>#REF!</v>
      </c>
      <c r="AL3" t="e">
        <f>AND(#REF!,"AAAAACvt9yU=")</f>
        <v>#REF!</v>
      </c>
      <c r="AM3" t="e">
        <f>AND(#REF!,"AAAAACvt9yY=")</f>
        <v>#REF!</v>
      </c>
      <c r="AN3" t="e">
        <f>AND(#REF!,"AAAAACvt9yc=")</f>
        <v>#REF!</v>
      </c>
      <c r="AO3" t="e">
        <f>IF(#REF!,"AAAAACvt9yg=",0)</f>
        <v>#REF!</v>
      </c>
      <c r="AP3" t="e">
        <f>AND(#REF!,"AAAAACvt9yk=")</f>
        <v>#REF!</v>
      </c>
      <c r="AQ3" t="e">
        <f>AND(#REF!,"AAAAACvt9yo=")</f>
        <v>#REF!</v>
      </c>
      <c r="AR3" t="e">
        <f>AND(#REF!,"AAAAACvt9ys=")</f>
        <v>#REF!</v>
      </c>
      <c r="AS3" t="e">
        <f>AND(#REF!,"AAAAACvt9yw=")</f>
        <v>#REF!</v>
      </c>
      <c r="AT3" t="e">
        <f>AND(#REF!,"AAAAACvt9y0=")</f>
        <v>#REF!</v>
      </c>
      <c r="AU3" t="e">
        <f>AND(#REF!,"AAAAACvt9y4=")</f>
        <v>#REF!</v>
      </c>
      <c r="AV3" t="e">
        <f>AND(#REF!,"AAAAACvt9y8=")</f>
        <v>#REF!</v>
      </c>
      <c r="AW3" t="e">
        <f>AND(#REF!,"AAAAACvt9zA=")</f>
        <v>#REF!</v>
      </c>
      <c r="AX3" t="e">
        <f>AND(#REF!,"AAAAACvt9zE=")</f>
        <v>#REF!</v>
      </c>
      <c r="AY3" t="e">
        <f>AND(#REF!,"AAAAACvt9zI=")</f>
        <v>#REF!</v>
      </c>
      <c r="AZ3" t="e">
        <f>AND(#REF!,"AAAAACvt9zM=")</f>
        <v>#REF!</v>
      </c>
      <c r="BA3" t="e">
        <f>AND(#REF!,"AAAAACvt9zQ=")</f>
        <v>#REF!</v>
      </c>
      <c r="BB3" t="e">
        <f>IF(#REF!,"AAAAACvt9zU=",0)</f>
        <v>#REF!</v>
      </c>
      <c r="BC3" t="e">
        <f>AND(#REF!,"AAAAACvt9zY=")</f>
        <v>#REF!</v>
      </c>
      <c r="BD3" t="e">
        <f>AND(#REF!,"AAAAACvt9zc=")</f>
        <v>#REF!</v>
      </c>
      <c r="BE3" t="e">
        <f>AND(#REF!,"AAAAACvt9zg=")</f>
        <v>#REF!</v>
      </c>
      <c r="BF3" t="e">
        <f>AND(#REF!,"AAAAACvt9zk=")</f>
        <v>#REF!</v>
      </c>
      <c r="BG3" t="e">
        <f>AND(#REF!,"AAAAACvt9zo=")</f>
        <v>#REF!</v>
      </c>
      <c r="BH3" t="e">
        <f>AND(#REF!,"AAAAACvt9zs=")</f>
        <v>#REF!</v>
      </c>
      <c r="BI3" t="e">
        <f>AND(#REF!,"AAAAACvt9zw=")</f>
        <v>#REF!</v>
      </c>
      <c r="BJ3" t="e">
        <f>AND(#REF!,"AAAAACvt9z0=")</f>
        <v>#REF!</v>
      </c>
      <c r="BK3" t="e">
        <f>AND(#REF!,"AAAAACvt9z4=")</f>
        <v>#REF!</v>
      </c>
      <c r="BL3" t="e">
        <f>AND(#REF!,"AAAAACvt9z8=")</f>
        <v>#REF!</v>
      </c>
      <c r="BM3" t="e">
        <f>AND(#REF!,"AAAAACvt90A=")</f>
        <v>#REF!</v>
      </c>
      <c r="BN3" t="e">
        <f>AND(#REF!,"AAAAACvt90E=")</f>
        <v>#REF!</v>
      </c>
      <c r="BO3" t="e">
        <f>IF(#REF!,"AAAAACvt90I=",0)</f>
        <v>#REF!</v>
      </c>
      <c r="BP3" t="e">
        <f>AND(#REF!,"AAAAACvt90M=")</f>
        <v>#REF!</v>
      </c>
      <c r="BQ3" t="e">
        <f>AND(#REF!,"AAAAACvt90Q=")</f>
        <v>#REF!</v>
      </c>
      <c r="BR3" t="e">
        <f>AND(#REF!,"AAAAACvt90U=")</f>
        <v>#REF!</v>
      </c>
      <c r="BS3" t="e">
        <f>AND(#REF!,"AAAAACvt90Y=")</f>
        <v>#REF!</v>
      </c>
      <c r="BT3" t="e">
        <f>AND(#REF!,"AAAAACvt90c=")</f>
        <v>#REF!</v>
      </c>
      <c r="BU3" t="e">
        <f>AND(#REF!,"AAAAACvt90g=")</f>
        <v>#REF!</v>
      </c>
      <c r="BV3" t="e">
        <f>AND(#REF!,"AAAAACvt90k=")</f>
        <v>#REF!</v>
      </c>
      <c r="BW3" t="e">
        <f>AND(#REF!,"AAAAACvt90o=")</f>
        <v>#REF!</v>
      </c>
      <c r="BX3" t="e">
        <f>AND(#REF!,"AAAAACvt90s=")</f>
        <v>#REF!</v>
      </c>
      <c r="BY3" t="e">
        <f>AND(#REF!,"AAAAACvt90w=")</f>
        <v>#REF!</v>
      </c>
      <c r="BZ3" t="e">
        <f>AND(#REF!,"AAAAACvt900=")</f>
        <v>#REF!</v>
      </c>
      <c r="CA3" t="e">
        <f>AND(#REF!,"AAAAACvt904=")</f>
        <v>#REF!</v>
      </c>
      <c r="CB3" t="e">
        <f>IF(#REF!,"AAAAACvt908=",0)</f>
        <v>#REF!</v>
      </c>
      <c r="CC3" t="e">
        <f>AND(#REF!,"AAAAACvt91A=")</f>
        <v>#REF!</v>
      </c>
      <c r="CD3" t="e">
        <f>AND(#REF!,"AAAAACvt91E=")</f>
        <v>#REF!</v>
      </c>
      <c r="CE3" t="e">
        <f>AND(#REF!,"AAAAACvt91I=")</f>
        <v>#REF!</v>
      </c>
      <c r="CF3" t="e">
        <f>AND(#REF!,"AAAAACvt91M=")</f>
        <v>#REF!</v>
      </c>
      <c r="CG3" t="e">
        <f>AND(#REF!,"AAAAACvt91Q=")</f>
        <v>#REF!</v>
      </c>
      <c r="CH3" t="e">
        <f>AND(#REF!,"AAAAACvt91U=")</f>
        <v>#REF!</v>
      </c>
      <c r="CI3" t="e">
        <f>AND(#REF!,"AAAAACvt91Y=")</f>
        <v>#REF!</v>
      </c>
      <c r="CJ3" t="e">
        <f>AND(#REF!,"AAAAACvt91c=")</f>
        <v>#REF!</v>
      </c>
      <c r="CK3" t="e">
        <f>AND(#REF!,"AAAAACvt91g=")</f>
        <v>#REF!</v>
      </c>
      <c r="CL3" t="e">
        <f>AND(#REF!,"AAAAACvt91k=")</f>
        <v>#REF!</v>
      </c>
      <c r="CM3" t="e">
        <f>AND(#REF!,"AAAAACvt91o=")</f>
        <v>#REF!</v>
      </c>
      <c r="CN3" t="e">
        <f>AND(#REF!,"AAAAACvt91s=")</f>
        <v>#REF!</v>
      </c>
      <c r="CO3" t="e">
        <f>IF(#REF!,"AAAAACvt91w=",0)</f>
        <v>#REF!</v>
      </c>
      <c r="CP3" t="e">
        <f>AND(#REF!,"AAAAACvt910=")</f>
        <v>#REF!</v>
      </c>
      <c r="CQ3" t="e">
        <f>AND(#REF!,"AAAAACvt914=")</f>
        <v>#REF!</v>
      </c>
      <c r="CR3" t="e">
        <f>AND(#REF!,"AAAAACvt918=")</f>
        <v>#REF!</v>
      </c>
      <c r="CS3" t="e">
        <f>AND(#REF!,"AAAAACvt92A=")</f>
        <v>#REF!</v>
      </c>
      <c r="CT3" t="e">
        <f>AND(#REF!,"AAAAACvt92E=")</f>
        <v>#REF!</v>
      </c>
      <c r="CU3" t="e">
        <f>AND(#REF!,"AAAAACvt92I=")</f>
        <v>#REF!</v>
      </c>
      <c r="CV3" t="e">
        <f>AND(#REF!,"AAAAACvt92M=")</f>
        <v>#REF!</v>
      </c>
      <c r="CW3" t="e">
        <f>AND(#REF!,"AAAAACvt92Q=")</f>
        <v>#REF!</v>
      </c>
      <c r="CX3" t="e">
        <f>AND(#REF!,"AAAAACvt92U=")</f>
        <v>#REF!</v>
      </c>
      <c r="CY3" t="e">
        <f>AND(#REF!,"AAAAACvt92Y=")</f>
        <v>#REF!</v>
      </c>
      <c r="CZ3" t="e">
        <f>AND(#REF!,"AAAAACvt92c=")</f>
        <v>#REF!</v>
      </c>
      <c r="DA3" t="e">
        <f>AND(#REF!,"AAAAACvt92g=")</f>
        <v>#REF!</v>
      </c>
      <c r="DB3" t="e">
        <f>IF(#REF!,"AAAAACvt92k=",0)</f>
        <v>#REF!</v>
      </c>
      <c r="DC3" t="e">
        <f>AND(#REF!,"AAAAACvt92o=")</f>
        <v>#REF!</v>
      </c>
      <c r="DD3" t="e">
        <f>AND(#REF!,"AAAAACvt92s=")</f>
        <v>#REF!</v>
      </c>
      <c r="DE3" t="e">
        <f>AND(#REF!,"AAAAACvt92w=")</f>
        <v>#REF!</v>
      </c>
      <c r="DF3" t="e">
        <f>AND(#REF!,"AAAAACvt920=")</f>
        <v>#REF!</v>
      </c>
      <c r="DG3" t="e">
        <f>AND(#REF!,"AAAAACvt924=")</f>
        <v>#REF!</v>
      </c>
      <c r="DH3" t="e">
        <f>AND(#REF!,"AAAAACvt928=")</f>
        <v>#REF!</v>
      </c>
      <c r="DI3" t="e">
        <f>AND(#REF!,"AAAAACvt93A=")</f>
        <v>#REF!</v>
      </c>
      <c r="DJ3" t="e">
        <f>AND(#REF!,"AAAAACvt93E=")</f>
        <v>#REF!</v>
      </c>
      <c r="DK3" t="e">
        <f>AND(#REF!,"AAAAACvt93I=")</f>
        <v>#REF!</v>
      </c>
      <c r="DL3" t="e">
        <f>AND(#REF!,"AAAAACvt93M=")</f>
        <v>#REF!</v>
      </c>
      <c r="DM3" t="e">
        <f>AND(#REF!,"AAAAACvt93Q=")</f>
        <v>#REF!</v>
      </c>
      <c r="DN3" t="e">
        <f>AND(#REF!,"AAAAACvt93U=")</f>
        <v>#REF!</v>
      </c>
      <c r="DO3" t="e">
        <f>IF(#REF!,"AAAAACvt93Y=",0)</f>
        <v>#REF!</v>
      </c>
      <c r="DP3" t="e">
        <f>AND(#REF!,"AAAAACvt93c=")</f>
        <v>#REF!</v>
      </c>
      <c r="DQ3" t="e">
        <f>AND(#REF!,"AAAAACvt93g=")</f>
        <v>#REF!</v>
      </c>
      <c r="DR3" t="e">
        <f>AND(#REF!,"AAAAACvt93k=")</f>
        <v>#REF!</v>
      </c>
      <c r="DS3" t="e">
        <f>AND(#REF!,"AAAAACvt93o=")</f>
        <v>#REF!</v>
      </c>
      <c r="DT3" t="e">
        <f>AND(#REF!,"AAAAACvt93s=")</f>
        <v>#REF!</v>
      </c>
      <c r="DU3" t="e">
        <f>AND(#REF!,"AAAAACvt93w=")</f>
        <v>#REF!</v>
      </c>
      <c r="DV3" t="e">
        <f>AND(#REF!,"AAAAACvt930=")</f>
        <v>#REF!</v>
      </c>
      <c r="DW3" t="e">
        <f>AND(#REF!,"AAAAACvt934=")</f>
        <v>#REF!</v>
      </c>
      <c r="DX3" t="e">
        <f>AND(#REF!,"AAAAACvt938=")</f>
        <v>#REF!</v>
      </c>
      <c r="DY3" t="e">
        <f>AND(#REF!,"AAAAACvt94A=")</f>
        <v>#REF!</v>
      </c>
      <c r="DZ3" t="e">
        <f>AND(#REF!,"AAAAACvt94E=")</f>
        <v>#REF!</v>
      </c>
      <c r="EA3" t="e">
        <f>AND(#REF!,"AAAAACvt94I=")</f>
        <v>#REF!</v>
      </c>
      <c r="EB3" t="e">
        <f>IF(#REF!,"AAAAACvt94M=",0)</f>
        <v>#REF!</v>
      </c>
      <c r="EC3" t="e">
        <f>AND(#REF!,"AAAAACvt94Q=")</f>
        <v>#REF!</v>
      </c>
      <c r="ED3" t="e">
        <f>AND(#REF!,"AAAAACvt94U=")</f>
        <v>#REF!</v>
      </c>
      <c r="EE3" t="e">
        <f>AND(#REF!,"AAAAACvt94Y=")</f>
        <v>#REF!</v>
      </c>
      <c r="EF3" t="e">
        <f>AND(#REF!,"AAAAACvt94c=")</f>
        <v>#REF!</v>
      </c>
      <c r="EG3" t="e">
        <f>AND(#REF!,"AAAAACvt94g=")</f>
        <v>#REF!</v>
      </c>
      <c r="EH3" t="e">
        <f>AND(#REF!,"AAAAACvt94k=")</f>
        <v>#REF!</v>
      </c>
      <c r="EI3" t="e">
        <f>AND(#REF!,"AAAAACvt94o=")</f>
        <v>#REF!</v>
      </c>
      <c r="EJ3" t="e">
        <f>AND(#REF!,"AAAAACvt94s=")</f>
        <v>#REF!</v>
      </c>
      <c r="EK3" t="e">
        <f>AND(#REF!,"AAAAACvt94w=")</f>
        <v>#REF!</v>
      </c>
      <c r="EL3" t="e">
        <f>AND(#REF!,"AAAAACvt940=")</f>
        <v>#REF!</v>
      </c>
      <c r="EM3" t="e">
        <f>AND(#REF!,"AAAAACvt944=")</f>
        <v>#REF!</v>
      </c>
      <c r="EN3" t="e">
        <f>AND(#REF!,"AAAAACvt948=")</f>
        <v>#REF!</v>
      </c>
      <c r="EO3" t="e">
        <f>IF(#REF!,"AAAAACvt95A=",0)</f>
        <v>#REF!</v>
      </c>
      <c r="EP3" t="e">
        <f>AND(#REF!,"AAAAACvt95E=")</f>
        <v>#REF!</v>
      </c>
      <c r="EQ3" t="e">
        <f>AND(#REF!,"AAAAACvt95I=")</f>
        <v>#REF!</v>
      </c>
      <c r="ER3" t="e">
        <f>AND(#REF!,"AAAAACvt95M=")</f>
        <v>#REF!</v>
      </c>
      <c r="ES3" t="e">
        <f>AND(#REF!,"AAAAACvt95Q=")</f>
        <v>#REF!</v>
      </c>
      <c r="ET3" t="e">
        <f>AND(#REF!,"AAAAACvt95U=")</f>
        <v>#REF!</v>
      </c>
      <c r="EU3" t="e">
        <f>AND(#REF!,"AAAAACvt95Y=")</f>
        <v>#REF!</v>
      </c>
      <c r="EV3" t="e">
        <f>AND(#REF!,"AAAAACvt95c=")</f>
        <v>#REF!</v>
      </c>
      <c r="EW3" t="e">
        <f>AND(#REF!,"AAAAACvt95g=")</f>
        <v>#REF!</v>
      </c>
      <c r="EX3" t="e">
        <f>AND(#REF!,"AAAAACvt95k=")</f>
        <v>#REF!</v>
      </c>
      <c r="EY3" t="e">
        <f>AND(#REF!,"AAAAACvt95o=")</f>
        <v>#REF!</v>
      </c>
      <c r="EZ3" t="e">
        <f>AND(#REF!,"AAAAACvt95s=")</f>
        <v>#REF!</v>
      </c>
      <c r="FA3" t="e">
        <f>AND(#REF!,"AAAAACvt95w=")</f>
        <v>#REF!</v>
      </c>
      <c r="FB3" t="e">
        <f>IF(#REF!,"AAAAACvt950=",0)</f>
        <v>#REF!</v>
      </c>
      <c r="FC3" t="e">
        <f>AND(#REF!,"AAAAACvt954=")</f>
        <v>#REF!</v>
      </c>
      <c r="FD3" t="e">
        <f>AND(#REF!,"AAAAACvt958=")</f>
        <v>#REF!</v>
      </c>
      <c r="FE3" t="e">
        <f>AND(#REF!,"AAAAACvt96A=")</f>
        <v>#REF!</v>
      </c>
      <c r="FF3" t="e">
        <f>AND(#REF!,"AAAAACvt96E=")</f>
        <v>#REF!</v>
      </c>
      <c r="FG3" t="e">
        <f>AND(#REF!,"AAAAACvt96I=")</f>
        <v>#REF!</v>
      </c>
      <c r="FH3" t="e">
        <f>AND(#REF!,"AAAAACvt96M=")</f>
        <v>#REF!</v>
      </c>
      <c r="FI3" t="e">
        <f>AND(#REF!,"AAAAACvt96Q=")</f>
        <v>#REF!</v>
      </c>
      <c r="FJ3" t="e">
        <f>AND(#REF!,"AAAAACvt96U=")</f>
        <v>#REF!</v>
      </c>
      <c r="FK3" t="e">
        <f>AND(#REF!,"AAAAACvt96Y=")</f>
        <v>#REF!</v>
      </c>
      <c r="FL3" t="e">
        <f>AND(#REF!,"AAAAACvt96c=")</f>
        <v>#REF!</v>
      </c>
      <c r="FM3" t="e">
        <f>AND(#REF!,"AAAAACvt96g=")</f>
        <v>#REF!</v>
      </c>
      <c r="FN3" t="e">
        <f>AND(#REF!,"AAAAACvt96k=")</f>
        <v>#REF!</v>
      </c>
      <c r="FO3" t="e">
        <f>IF(#REF!,"AAAAACvt96o=",0)</f>
        <v>#REF!</v>
      </c>
      <c r="FP3" t="e">
        <f>AND(#REF!,"AAAAACvt96s=")</f>
        <v>#REF!</v>
      </c>
      <c r="FQ3" t="e">
        <f>AND(#REF!,"AAAAACvt96w=")</f>
        <v>#REF!</v>
      </c>
      <c r="FR3" t="e">
        <f>AND(#REF!,"AAAAACvt960=")</f>
        <v>#REF!</v>
      </c>
      <c r="FS3" t="e">
        <f>AND(#REF!,"AAAAACvt964=")</f>
        <v>#REF!</v>
      </c>
      <c r="FT3" t="e">
        <f>AND(#REF!,"AAAAACvt968=")</f>
        <v>#REF!</v>
      </c>
      <c r="FU3" t="e">
        <f>AND(#REF!,"AAAAACvt97A=")</f>
        <v>#REF!</v>
      </c>
      <c r="FV3" t="e">
        <f>AND(#REF!,"AAAAACvt97E=")</f>
        <v>#REF!</v>
      </c>
      <c r="FW3" t="e">
        <f>AND(#REF!,"AAAAACvt97I=")</f>
        <v>#REF!</v>
      </c>
      <c r="FX3" t="e">
        <f>AND(#REF!,"AAAAACvt97M=")</f>
        <v>#REF!</v>
      </c>
      <c r="FY3" t="e">
        <f>AND(#REF!,"AAAAACvt97Q=")</f>
        <v>#REF!</v>
      </c>
      <c r="FZ3" t="e">
        <f>AND(#REF!,"AAAAACvt97U=")</f>
        <v>#REF!</v>
      </c>
      <c r="GA3" t="e">
        <f>AND(#REF!,"AAAAACvt97Y=")</f>
        <v>#REF!</v>
      </c>
      <c r="GB3" t="e">
        <f>IF(#REF!,"AAAAACvt97c=",0)</f>
        <v>#REF!</v>
      </c>
      <c r="GC3" t="e">
        <f>AND(#REF!,"AAAAACvt97g=")</f>
        <v>#REF!</v>
      </c>
      <c r="GD3" t="e">
        <f>AND(#REF!,"AAAAACvt97k=")</f>
        <v>#REF!</v>
      </c>
      <c r="GE3" t="e">
        <f>AND(#REF!,"AAAAACvt97o=")</f>
        <v>#REF!</v>
      </c>
      <c r="GF3" t="e">
        <f>AND(#REF!,"AAAAACvt97s=")</f>
        <v>#REF!</v>
      </c>
      <c r="GG3" t="e">
        <f>AND(#REF!,"AAAAACvt97w=")</f>
        <v>#REF!</v>
      </c>
      <c r="GH3" t="e">
        <f>AND(#REF!,"AAAAACvt970=")</f>
        <v>#REF!</v>
      </c>
      <c r="GI3" t="e">
        <f>AND(#REF!,"AAAAACvt974=")</f>
        <v>#REF!</v>
      </c>
      <c r="GJ3" t="e">
        <f>AND(#REF!,"AAAAACvt978=")</f>
        <v>#REF!</v>
      </c>
      <c r="GK3" t="e">
        <f>AND(#REF!,"AAAAACvt98A=")</f>
        <v>#REF!</v>
      </c>
      <c r="GL3" t="e">
        <f>AND(#REF!,"AAAAACvt98E=")</f>
        <v>#REF!</v>
      </c>
      <c r="GM3" t="e">
        <f>AND(#REF!,"AAAAACvt98I=")</f>
        <v>#REF!</v>
      </c>
      <c r="GN3" t="e">
        <f>AND(#REF!,"AAAAACvt98M=")</f>
        <v>#REF!</v>
      </c>
      <c r="GO3" t="e">
        <f>IF(#REF!,"AAAAACvt98Q=",0)</f>
        <v>#REF!</v>
      </c>
      <c r="GP3" t="e">
        <f>AND(#REF!,"AAAAACvt98U=")</f>
        <v>#REF!</v>
      </c>
      <c r="GQ3" t="e">
        <f>AND(#REF!,"AAAAACvt98Y=")</f>
        <v>#REF!</v>
      </c>
      <c r="GR3" t="e">
        <f>AND(#REF!,"AAAAACvt98c=")</f>
        <v>#REF!</v>
      </c>
      <c r="GS3" t="e">
        <f>AND(#REF!,"AAAAACvt98g=")</f>
        <v>#REF!</v>
      </c>
      <c r="GT3" t="e">
        <f>AND(#REF!,"AAAAACvt98k=")</f>
        <v>#REF!</v>
      </c>
      <c r="GU3" t="e">
        <f>AND(#REF!,"AAAAACvt98o=")</f>
        <v>#REF!</v>
      </c>
      <c r="GV3" t="e">
        <f>AND(#REF!,"AAAAACvt98s=")</f>
        <v>#REF!</v>
      </c>
      <c r="GW3" t="e">
        <f>AND(#REF!,"AAAAACvt98w=")</f>
        <v>#REF!</v>
      </c>
      <c r="GX3" t="e">
        <f>AND(#REF!,"AAAAACvt980=")</f>
        <v>#REF!</v>
      </c>
      <c r="GY3" t="e">
        <f>AND(#REF!,"AAAAACvt984=")</f>
        <v>#REF!</v>
      </c>
      <c r="GZ3" t="e">
        <f>AND(#REF!,"AAAAACvt988=")</f>
        <v>#REF!</v>
      </c>
      <c r="HA3" t="e">
        <f>AND(#REF!,"AAAAACvt99A=")</f>
        <v>#REF!</v>
      </c>
      <c r="HB3" t="e">
        <f>IF(#REF!,"AAAAACvt99E=",0)</f>
        <v>#REF!</v>
      </c>
      <c r="HC3" t="e">
        <f>AND(#REF!,"AAAAACvt99I=")</f>
        <v>#REF!</v>
      </c>
      <c r="HD3" t="e">
        <f>AND(#REF!,"AAAAACvt99M=")</f>
        <v>#REF!</v>
      </c>
      <c r="HE3" t="e">
        <f>AND(#REF!,"AAAAACvt99Q=")</f>
        <v>#REF!</v>
      </c>
      <c r="HF3" t="e">
        <f>AND(#REF!,"AAAAACvt99U=")</f>
        <v>#REF!</v>
      </c>
      <c r="HG3" t="e">
        <f>AND(#REF!,"AAAAACvt99Y=")</f>
        <v>#REF!</v>
      </c>
      <c r="HH3" t="e">
        <f>AND(#REF!,"AAAAACvt99c=")</f>
        <v>#REF!</v>
      </c>
      <c r="HI3" t="e">
        <f>AND(#REF!,"AAAAACvt99g=")</f>
        <v>#REF!</v>
      </c>
      <c r="HJ3" t="e">
        <f>AND(#REF!,"AAAAACvt99k=")</f>
        <v>#REF!</v>
      </c>
      <c r="HK3" t="e">
        <f>AND(#REF!,"AAAAACvt99o=")</f>
        <v>#REF!</v>
      </c>
      <c r="HL3" t="e">
        <f>AND(#REF!,"AAAAACvt99s=")</f>
        <v>#REF!</v>
      </c>
      <c r="HM3" t="e">
        <f>AND(#REF!,"AAAAACvt99w=")</f>
        <v>#REF!</v>
      </c>
      <c r="HN3" t="e">
        <f>AND(#REF!,"AAAAACvt990=")</f>
        <v>#REF!</v>
      </c>
      <c r="HO3" t="e">
        <f>IF(#REF!,"AAAAACvt994=",0)</f>
        <v>#REF!</v>
      </c>
      <c r="HP3" t="e">
        <f>AND(#REF!,"AAAAACvt998=")</f>
        <v>#REF!</v>
      </c>
      <c r="HQ3" t="e">
        <f>AND(#REF!,"AAAAACvt9+A=")</f>
        <v>#REF!</v>
      </c>
      <c r="HR3" t="e">
        <f>AND(#REF!,"AAAAACvt9+E=")</f>
        <v>#REF!</v>
      </c>
      <c r="HS3" t="e">
        <f>AND(#REF!,"AAAAACvt9+I=")</f>
        <v>#REF!</v>
      </c>
      <c r="HT3" t="e">
        <f>AND(#REF!,"AAAAACvt9+M=")</f>
        <v>#REF!</v>
      </c>
      <c r="HU3" t="e">
        <f>AND(#REF!,"AAAAACvt9+Q=")</f>
        <v>#REF!</v>
      </c>
      <c r="HV3" t="e">
        <f>AND(#REF!,"AAAAACvt9+U=")</f>
        <v>#REF!</v>
      </c>
      <c r="HW3" t="e">
        <f>AND(#REF!,"AAAAACvt9+Y=")</f>
        <v>#REF!</v>
      </c>
      <c r="HX3" t="e">
        <f>AND(#REF!,"AAAAACvt9+c=")</f>
        <v>#REF!</v>
      </c>
      <c r="HY3" t="e">
        <f>AND(#REF!,"AAAAACvt9+g=")</f>
        <v>#REF!</v>
      </c>
      <c r="HZ3" t="e">
        <f>AND(#REF!,"AAAAACvt9+k=")</f>
        <v>#REF!</v>
      </c>
      <c r="IA3" t="e">
        <f>AND(#REF!,"AAAAACvt9+o=")</f>
        <v>#REF!</v>
      </c>
      <c r="IB3" t="e">
        <f>IF(#REF!,"AAAAACvt9+s=",0)</f>
        <v>#REF!</v>
      </c>
      <c r="IC3" t="e">
        <f>AND(#REF!,"AAAAACvt9+w=")</f>
        <v>#REF!</v>
      </c>
      <c r="ID3" t="e">
        <f>AND(#REF!,"AAAAACvt9+0=")</f>
        <v>#REF!</v>
      </c>
      <c r="IE3" t="e">
        <f>AND(#REF!,"AAAAACvt9+4=")</f>
        <v>#REF!</v>
      </c>
      <c r="IF3" t="e">
        <f>AND(#REF!,"AAAAACvt9+8=")</f>
        <v>#REF!</v>
      </c>
      <c r="IG3" t="e">
        <f>AND(#REF!,"AAAAACvt9/A=")</f>
        <v>#REF!</v>
      </c>
      <c r="IH3" t="e">
        <f>AND(#REF!,"AAAAACvt9/E=")</f>
        <v>#REF!</v>
      </c>
      <c r="II3" t="e">
        <f>AND(#REF!,"AAAAACvt9/I=")</f>
        <v>#REF!</v>
      </c>
      <c r="IJ3" t="e">
        <f>AND(#REF!,"AAAAACvt9/M=")</f>
        <v>#REF!</v>
      </c>
      <c r="IK3" t="e">
        <f>AND(#REF!,"AAAAACvt9/Q=")</f>
        <v>#REF!</v>
      </c>
      <c r="IL3" t="e">
        <f>AND(#REF!,"AAAAACvt9/U=")</f>
        <v>#REF!</v>
      </c>
      <c r="IM3" t="e">
        <f>AND(#REF!,"AAAAACvt9/Y=")</f>
        <v>#REF!</v>
      </c>
      <c r="IN3" t="e">
        <f>AND(#REF!,"AAAAACvt9/c=")</f>
        <v>#REF!</v>
      </c>
      <c r="IO3" t="e">
        <f>IF(#REF!,"AAAAACvt9/g=",0)</f>
        <v>#REF!</v>
      </c>
      <c r="IP3" t="e">
        <f>AND(#REF!,"AAAAACvt9/k=")</f>
        <v>#REF!</v>
      </c>
      <c r="IQ3" t="e">
        <f>AND(#REF!,"AAAAACvt9/o=")</f>
        <v>#REF!</v>
      </c>
      <c r="IR3" t="e">
        <f>AND(#REF!,"AAAAACvt9/s=")</f>
        <v>#REF!</v>
      </c>
      <c r="IS3" t="e">
        <f>AND(#REF!,"AAAAACvt9/w=")</f>
        <v>#REF!</v>
      </c>
      <c r="IT3" t="e">
        <f>AND(#REF!,"AAAAACvt9/0=")</f>
        <v>#REF!</v>
      </c>
      <c r="IU3" t="e">
        <f>AND(#REF!,"AAAAACvt9/4=")</f>
        <v>#REF!</v>
      </c>
      <c r="IV3" t="e">
        <f>AND(#REF!,"AAAAACvt9/8=")</f>
        <v>#REF!</v>
      </c>
    </row>
    <row r="4" spans="1:256" x14ac:dyDescent="0.2">
      <c r="A4" t="e">
        <f>AND(#REF!,"AAAAAH9uhgA=")</f>
        <v>#REF!</v>
      </c>
      <c r="B4" t="e">
        <f>AND(#REF!,"AAAAAH9uhgE=")</f>
        <v>#REF!</v>
      </c>
      <c r="C4" t="e">
        <f>AND(#REF!,"AAAAAH9uhgI=")</f>
        <v>#REF!</v>
      </c>
      <c r="D4" t="e">
        <f>AND(#REF!,"AAAAAH9uhgM=")</f>
        <v>#REF!</v>
      </c>
      <c r="E4" t="e">
        <f>AND(#REF!,"AAAAAH9uhgQ=")</f>
        <v>#REF!</v>
      </c>
      <c r="F4" t="e">
        <f>IF(#REF!,"AAAAAH9uhgU=",0)</f>
        <v>#REF!</v>
      </c>
      <c r="G4" t="e">
        <f>AND(#REF!,"AAAAAH9uhgY=")</f>
        <v>#REF!</v>
      </c>
      <c r="H4" t="e">
        <f>AND(#REF!,"AAAAAH9uhgc=")</f>
        <v>#REF!</v>
      </c>
      <c r="I4" t="e">
        <f>AND(#REF!,"AAAAAH9uhgg=")</f>
        <v>#REF!</v>
      </c>
      <c r="J4" t="e">
        <f>AND(#REF!,"AAAAAH9uhgk=")</f>
        <v>#REF!</v>
      </c>
      <c r="K4" t="e">
        <f>AND(#REF!,"AAAAAH9uhgo=")</f>
        <v>#REF!</v>
      </c>
      <c r="L4" t="e">
        <f>AND(#REF!,"AAAAAH9uhgs=")</f>
        <v>#REF!</v>
      </c>
      <c r="M4" t="e">
        <f>AND(#REF!,"AAAAAH9uhgw=")</f>
        <v>#REF!</v>
      </c>
      <c r="N4" t="e">
        <f>AND(#REF!,"AAAAAH9uhg0=")</f>
        <v>#REF!</v>
      </c>
      <c r="O4" t="e">
        <f>AND(#REF!,"AAAAAH9uhg4=")</f>
        <v>#REF!</v>
      </c>
      <c r="P4" t="e">
        <f>AND(#REF!,"AAAAAH9uhg8=")</f>
        <v>#REF!</v>
      </c>
      <c r="Q4" t="e">
        <f>AND(#REF!,"AAAAAH9uhhA=")</f>
        <v>#REF!</v>
      </c>
      <c r="R4" t="e">
        <f>AND(#REF!,"AAAAAH9uhhE=")</f>
        <v>#REF!</v>
      </c>
      <c r="S4" t="e">
        <f>IF(#REF!,"AAAAAH9uhhI=",0)</f>
        <v>#REF!</v>
      </c>
      <c r="T4" t="e">
        <f>AND(#REF!,"AAAAAH9uhhM=")</f>
        <v>#REF!</v>
      </c>
      <c r="U4" t="e">
        <f>AND(#REF!,"AAAAAH9uhhQ=")</f>
        <v>#REF!</v>
      </c>
      <c r="V4" t="e">
        <f>AND(#REF!,"AAAAAH9uhhU=")</f>
        <v>#REF!</v>
      </c>
      <c r="W4" t="e">
        <f>AND(#REF!,"AAAAAH9uhhY=")</f>
        <v>#REF!</v>
      </c>
      <c r="X4" t="e">
        <f>AND(#REF!,"AAAAAH9uhhc=")</f>
        <v>#REF!</v>
      </c>
      <c r="Y4" t="e">
        <f>AND(#REF!,"AAAAAH9uhhg=")</f>
        <v>#REF!</v>
      </c>
      <c r="Z4" t="e">
        <f>AND(#REF!,"AAAAAH9uhhk=")</f>
        <v>#REF!</v>
      </c>
      <c r="AA4" t="e">
        <f>AND(#REF!,"AAAAAH9uhho=")</f>
        <v>#REF!</v>
      </c>
      <c r="AB4" t="e">
        <f>AND(#REF!,"AAAAAH9uhhs=")</f>
        <v>#REF!</v>
      </c>
      <c r="AC4" t="e">
        <f>AND(#REF!,"AAAAAH9uhhw=")</f>
        <v>#REF!</v>
      </c>
      <c r="AD4" t="e">
        <f>AND(#REF!,"AAAAAH9uhh0=")</f>
        <v>#REF!</v>
      </c>
      <c r="AE4" t="e">
        <f>AND(#REF!,"AAAAAH9uhh4=")</f>
        <v>#REF!</v>
      </c>
      <c r="AF4" t="e">
        <f>IF(#REF!,"AAAAAH9uhh8=",0)</f>
        <v>#REF!</v>
      </c>
      <c r="AG4" t="e">
        <f>AND(#REF!,"AAAAAH9uhiA=")</f>
        <v>#REF!</v>
      </c>
      <c r="AH4" t="e">
        <f>AND(#REF!,"AAAAAH9uhiE=")</f>
        <v>#REF!</v>
      </c>
      <c r="AI4" t="e">
        <f>AND(#REF!,"AAAAAH9uhiI=")</f>
        <v>#REF!</v>
      </c>
      <c r="AJ4" t="e">
        <f>AND(#REF!,"AAAAAH9uhiM=")</f>
        <v>#REF!</v>
      </c>
      <c r="AK4" t="e">
        <f>AND(#REF!,"AAAAAH9uhiQ=")</f>
        <v>#REF!</v>
      </c>
      <c r="AL4" t="e">
        <f>AND(#REF!,"AAAAAH9uhiU=")</f>
        <v>#REF!</v>
      </c>
      <c r="AM4" t="e">
        <f>AND(#REF!,"AAAAAH9uhiY=")</f>
        <v>#REF!</v>
      </c>
      <c r="AN4" t="e">
        <f>AND(#REF!,"AAAAAH9uhic=")</f>
        <v>#REF!</v>
      </c>
      <c r="AO4" t="e">
        <f>AND(#REF!,"AAAAAH9uhig=")</f>
        <v>#REF!</v>
      </c>
      <c r="AP4" t="e">
        <f>AND(#REF!,"AAAAAH9uhik=")</f>
        <v>#REF!</v>
      </c>
      <c r="AQ4" t="e">
        <f>AND(#REF!,"AAAAAH9uhio=")</f>
        <v>#REF!</v>
      </c>
      <c r="AR4" t="e">
        <f>AND(#REF!,"AAAAAH9uhis=")</f>
        <v>#REF!</v>
      </c>
      <c r="AS4" t="e">
        <f>IF(#REF!,"AAAAAH9uhiw=",0)</f>
        <v>#REF!</v>
      </c>
      <c r="AT4" t="e">
        <f>AND(#REF!,"AAAAAH9uhi0=")</f>
        <v>#REF!</v>
      </c>
      <c r="AU4" t="e">
        <f>AND(#REF!,"AAAAAH9uhi4=")</f>
        <v>#REF!</v>
      </c>
      <c r="AV4" t="e">
        <f>AND(#REF!,"AAAAAH9uhi8=")</f>
        <v>#REF!</v>
      </c>
      <c r="AW4" t="e">
        <f>AND(#REF!,"AAAAAH9uhjA=")</f>
        <v>#REF!</v>
      </c>
      <c r="AX4" t="e">
        <f>AND(#REF!,"AAAAAH9uhjE=")</f>
        <v>#REF!</v>
      </c>
      <c r="AY4" t="e">
        <f>AND(#REF!,"AAAAAH9uhjI=")</f>
        <v>#REF!</v>
      </c>
      <c r="AZ4" t="e">
        <f>AND(#REF!,"AAAAAH9uhjM=")</f>
        <v>#REF!</v>
      </c>
      <c r="BA4" t="e">
        <f>AND(#REF!,"AAAAAH9uhjQ=")</f>
        <v>#REF!</v>
      </c>
      <c r="BB4" t="e">
        <f>AND(#REF!,"AAAAAH9uhjU=")</f>
        <v>#REF!</v>
      </c>
      <c r="BC4" t="e">
        <f>AND(#REF!,"AAAAAH9uhjY=")</f>
        <v>#REF!</v>
      </c>
      <c r="BD4" t="e">
        <f>AND(#REF!,"AAAAAH9uhjc=")</f>
        <v>#REF!</v>
      </c>
      <c r="BE4" t="e">
        <f>AND(#REF!,"AAAAAH9uhjg=")</f>
        <v>#REF!</v>
      </c>
      <c r="BF4" t="e">
        <f>IF(#REF!,"AAAAAH9uhjk=",0)</f>
        <v>#REF!</v>
      </c>
      <c r="BG4" t="e">
        <f>AND(#REF!,"AAAAAH9uhjo=")</f>
        <v>#REF!</v>
      </c>
      <c r="BH4" t="e">
        <f>AND(#REF!,"AAAAAH9uhjs=")</f>
        <v>#REF!</v>
      </c>
      <c r="BI4" t="e">
        <f>AND(#REF!,"AAAAAH9uhjw=")</f>
        <v>#REF!</v>
      </c>
      <c r="BJ4" t="e">
        <f>AND(#REF!,"AAAAAH9uhj0=")</f>
        <v>#REF!</v>
      </c>
      <c r="BK4" t="e">
        <f>AND(#REF!,"AAAAAH9uhj4=")</f>
        <v>#REF!</v>
      </c>
      <c r="BL4" t="e">
        <f>AND(#REF!,"AAAAAH9uhj8=")</f>
        <v>#REF!</v>
      </c>
      <c r="BM4" t="e">
        <f>AND(#REF!,"AAAAAH9uhkA=")</f>
        <v>#REF!</v>
      </c>
      <c r="BN4" t="e">
        <f>AND(#REF!,"AAAAAH9uhkE=")</f>
        <v>#REF!</v>
      </c>
      <c r="BO4" t="e">
        <f>AND(#REF!,"AAAAAH9uhkI=")</f>
        <v>#REF!</v>
      </c>
      <c r="BP4" t="e">
        <f>AND(#REF!,"AAAAAH9uhkM=")</f>
        <v>#REF!</v>
      </c>
      <c r="BQ4" t="e">
        <f>AND(#REF!,"AAAAAH9uhkQ=")</f>
        <v>#REF!</v>
      </c>
      <c r="BR4" t="e">
        <f>AND(#REF!,"AAAAAH9uhkU=")</f>
        <v>#REF!</v>
      </c>
      <c r="BS4" t="e">
        <f>IF(#REF!,"AAAAAH9uhkY=",0)</f>
        <v>#REF!</v>
      </c>
      <c r="BT4" t="e">
        <f>AND(#REF!,"AAAAAH9uhkc=")</f>
        <v>#REF!</v>
      </c>
      <c r="BU4" t="e">
        <f>AND(#REF!,"AAAAAH9uhkg=")</f>
        <v>#REF!</v>
      </c>
      <c r="BV4" t="e">
        <f>AND(#REF!,"AAAAAH9uhkk=")</f>
        <v>#REF!</v>
      </c>
      <c r="BW4" t="e">
        <f>AND(#REF!,"AAAAAH9uhko=")</f>
        <v>#REF!</v>
      </c>
      <c r="BX4" t="e">
        <f>AND(#REF!,"AAAAAH9uhks=")</f>
        <v>#REF!</v>
      </c>
      <c r="BY4" t="e">
        <f>AND(#REF!,"AAAAAH9uhkw=")</f>
        <v>#REF!</v>
      </c>
      <c r="BZ4" t="e">
        <f>AND(#REF!,"AAAAAH9uhk0=")</f>
        <v>#REF!</v>
      </c>
      <c r="CA4" t="e">
        <f>AND(#REF!,"AAAAAH9uhk4=")</f>
        <v>#REF!</v>
      </c>
      <c r="CB4" t="e">
        <f>AND(#REF!,"AAAAAH9uhk8=")</f>
        <v>#REF!</v>
      </c>
      <c r="CC4" t="e">
        <f>AND(#REF!,"AAAAAH9uhlA=")</f>
        <v>#REF!</v>
      </c>
      <c r="CD4" t="e">
        <f>AND(#REF!,"AAAAAH9uhlE=")</f>
        <v>#REF!</v>
      </c>
      <c r="CE4" t="e">
        <f>AND(#REF!,"AAAAAH9uhlI=")</f>
        <v>#REF!</v>
      </c>
      <c r="CF4" t="e">
        <f>IF(#REF!,"AAAAAH9uhlM=",0)</f>
        <v>#REF!</v>
      </c>
      <c r="CG4" t="e">
        <f>AND(#REF!,"AAAAAH9uhlQ=")</f>
        <v>#REF!</v>
      </c>
      <c r="CH4" t="e">
        <f>AND(#REF!,"AAAAAH9uhlU=")</f>
        <v>#REF!</v>
      </c>
      <c r="CI4" t="e">
        <f>AND(#REF!,"AAAAAH9uhlY=")</f>
        <v>#REF!</v>
      </c>
      <c r="CJ4" t="e">
        <f>AND(#REF!,"AAAAAH9uhlc=")</f>
        <v>#REF!</v>
      </c>
      <c r="CK4" t="e">
        <f>AND(#REF!,"AAAAAH9uhlg=")</f>
        <v>#REF!</v>
      </c>
      <c r="CL4" t="e">
        <f>AND(#REF!,"AAAAAH9uhlk=")</f>
        <v>#REF!</v>
      </c>
      <c r="CM4" t="e">
        <f>AND(#REF!,"AAAAAH9uhlo=")</f>
        <v>#REF!</v>
      </c>
      <c r="CN4" t="e">
        <f>AND(#REF!,"AAAAAH9uhls=")</f>
        <v>#REF!</v>
      </c>
      <c r="CO4" t="e">
        <f>AND(#REF!,"AAAAAH9uhlw=")</f>
        <v>#REF!</v>
      </c>
      <c r="CP4" t="e">
        <f>AND(#REF!,"AAAAAH9uhl0=")</f>
        <v>#REF!</v>
      </c>
      <c r="CQ4" t="e">
        <f>AND(#REF!,"AAAAAH9uhl4=")</f>
        <v>#REF!</v>
      </c>
      <c r="CR4" t="e">
        <f>AND(#REF!,"AAAAAH9uhl8=")</f>
        <v>#REF!</v>
      </c>
      <c r="CS4" t="e">
        <f>IF(#REF!,"AAAAAH9uhmA=",0)</f>
        <v>#REF!</v>
      </c>
      <c r="CT4" t="e">
        <f>AND(#REF!,"AAAAAH9uhmE=")</f>
        <v>#REF!</v>
      </c>
      <c r="CU4" t="e">
        <f>AND(#REF!,"AAAAAH9uhmI=")</f>
        <v>#REF!</v>
      </c>
      <c r="CV4" t="e">
        <f>AND(#REF!,"AAAAAH9uhmM=")</f>
        <v>#REF!</v>
      </c>
      <c r="CW4" t="e">
        <f>AND(#REF!,"AAAAAH9uhmQ=")</f>
        <v>#REF!</v>
      </c>
      <c r="CX4" t="e">
        <f>AND(#REF!,"AAAAAH9uhmU=")</f>
        <v>#REF!</v>
      </c>
      <c r="CY4" t="e">
        <f>AND(#REF!,"AAAAAH9uhmY=")</f>
        <v>#REF!</v>
      </c>
      <c r="CZ4" t="e">
        <f>AND(#REF!,"AAAAAH9uhmc=")</f>
        <v>#REF!</v>
      </c>
      <c r="DA4" t="e">
        <f>AND(#REF!,"AAAAAH9uhmg=")</f>
        <v>#REF!</v>
      </c>
      <c r="DB4" t="e">
        <f>AND(#REF!,"AAAAAH9uhmk=")</f>
        <v>#REF!</v>
      </c>
      <c r="DC4" t="e">
        <f>AND(#REF!,"AAAAAH9uhmo=")</f>
        <v>#REF!</v>
      </c>
      <c r="DD4" t="e">
        <f>AND(#REF!,"AAAAAH9uhms=")</f>
        <v>#REF!</v>
      </c>
      <c r="DE4" t="e">
        <f>AND(#REF!,"AAAAAH9uhmw=")</f>
        <v>#REF!</v>
      </c>
      <c r="DF4" t="e">
        <f>IF(#REF!,"AAAAAH9uhm0=",0)</f>
        <v>#REF!</v>
      </c>
      <c r="DG4" t="e">
        <f>AND(#REF!,"AAAAAH9uhm4=")</f>
        <v>#REF!</v>
      </c>
      <c r="DH4" t="e">
        <f>AND(#REF!,"AAAAAH9uhm8=")</f>
        <v>#REF!</v>
      </c>
      <c r="DI4" t="e">
        <f>AND(#REF!,"AAAAAH9uhnA=")</f>
        <v>#REF!</v>
      </c>
      <c r="DJ4" t="e">
        <f>AND(#REF!,"AAAAAH9uhnE=")</f>
        <v>#REF!</v>
      </c>
      <c r="DK4" t="e">
        <f>AND(#REF!,"AAAAAH9uhnI=")</f>
        <v>#REF!</v>
      </c>
      <c r="DL4" t="e">
        <f>AND(#REF!,"AAAAAH9uhnM=")</f>
        <v>#REF!</v>
      </c>
      <c r="DM4" t="e">
        <f>AND(#REF!,"AAAAAH9uhnQ=")</f>
        <v>#REF!</v>
      </c>
      <c r="DN4" t="e">
        <f>AND(#REF!,"AAAAAH9uhnU=")</f>
        <v>#REF!</v>
      </c>
      <c r="DO4" t="e">
        <f>AND(#REF!,"AAAAAH9uhnY=")</f>
        <v>#REF!</v>
      </c>
      <c r="DP4" t="e">
        <f>AND(#REF!,"AAAAAH9uhnc=")</f>
        <v>#REF!</v>
      </c>
      <c r="DQ4" t="e">
        <f>AND(#REF!,"AAAAAH9uhng=")</f>
        <v>#REF!</v>
      </c>
      <c r="DR4" t="e">
        <f>AND(#REF!,"AAAAAH9uhnk=")</f>
        <v>#REF!</v>
      </c>
      <c r="DS4" t="e">
        <f>IF(#REF!,"AAAAAH9uhno=",0)</f>
        <v>#REF!</v>
      </c>
      <c r="DT4" t="e">
        <f>AND(#REF!,"AAAAAH9uhns=")</f>
        <v>#REF!</v>
      </c>
      <c r="DU4" t="e">
        <f>AND(#REF!,"AAAAAH9uhnw=")</f>
        <v>#REF!</v>
      </c>
      <c r="DV4" t="e">
        <f>AND(#REF!,"AAAAAH9uhn0=")</f>
        <v>#REF!</v>
      </c>
      <c r="DW4" t="e">
        <f>AND(#REF!,"AAAAAH9uhn4=")</f>
        <v>#REF!</v>
      </c>
      <c r="DX4" t="e">
        <f>AND(#REF!,"AAAAAH9uhn8=")</f>
        <v>#REF!</v>
      </c>
      <c r="DY4" t="e">
        <f>AND(#REF!,"AAAAAH9uhoA=")</f>
        <v>#REF!</v>
      </c>
      <c r="DZ4" t="e">
        <f>AND(#REF!,"AAAAAH9uhoE=")</f>
        <v>#REF!</v>
      </c>
      <c r="EA4" t="e">
        <f>AND(#REF!,"AAAAAH9uhoI=")</f>
        <v>#REF!</v>
      </c>
      <c r="EB4" t="e">
        <f>AND(#REF!,"AAAAAH9uhoM=")</f>
        <v>#REF!</v>
      </c>
      <c r="EC4" t="e">
        <f>AND(#REF!,"AAAAAH9uhoQ=")</f>
        <v>#REF!</v>
      </c>
      <c r="ED4" t="e">
        <f>AND(#REF!,"AAAAAH9uhoU=")</f>
        <v>#REF!</v>
      </c>
      <c r="EE4" t="e">
        <f>AND(#REF!,"AAAAAH9uhoY=")</f>
        <v>#REF!</v>
      </c>
      <c r="EF4" t="e">
        <f>IF(#REF!,"AAAAAH9uhoc=",0)</f>
        <v>#REF!</v>
      </c>
      <c r="EG4" t="e">
        <f>AND(#REF!,"AAAAAH9uhog=")</f>
        <v>#REF!</v>
      </c>
      <c r="EH4" t="e">
        <f>AND(#REF!,"AAAAAH9uhok=")</f>
        <v>#REF!</v>
      </c>
      <c r="EI4" t="e">
        <f>AND(#REF!,"AAAAAH9uhoo=")</f>
        <v>#REF!</v>
      </c>
      <c r="EJ4" t="e">
        <f>AND(#REF!,"AAAAAH9uhos=")</f>
        <v>#REF!</v>
      </c>
      <c r="EK4" t="e">
        <f>AND(#REF!,"AAAAAH9uhow=")</f>
        <v>#REF!</v>
      </c>
      <c r="EL4" t="e">
        <f>AND(#REF!,"AAAAAH9uho0=")</f>
        <v>#REF!</v>
      </c>
      <c r="EM4" t="e">
        <f>AND(#REF!,"AAAAAH9uho4=")</f>
        <v>#REF!</v>
      </c>
      <c r="EN4" t="e">
        <f>AND(#REF!,"AAAAAH9uho8=")</f>
        <v>#REF!</v>
      </c>
      <c r="EO4" t="e">
        <f>AND(#REF!,"AAAAAH9uhpA=")</f>
        <v>#REF!</v>
      </c>
      <c r="EP4" t="e">
        <f>AND(#REF!,"AAAAAH9uhpE=")</f>
        <v>#REF!</v>
      </c>
      <c r="EQ4" t="e">
        <f>AND(#REF!,"AAAAAH9uhpI=")</f>
        <v>#REF!</v>
      </c>
      <c r="ER4" t="e">
        <f>AND(#REF!,"AAAAAH9uhpM=")</f>
        <v>#REF!</v>
      </c>
      <c r="ES4" t="e">
        <f>IF(#REF!,"AAAAAH9uhpQ=",0)</f>
        <v>#REF!</v>
      </c>
      <c r="ET4" t="e">
        <f>AND(#REF!,"AAAAAH9uhpU=")</f>
        <v>#REF!</v>
      </c>
      <c r="EU4" t="e">
        <f>AND(#REF!,"AAAAAH9uhpY=")</f>
        <v>#REF!</v>
      </c>
      <c r="EV4" t="e">
        <f>AND(#REF!,"AAAAAH9uhpc=")</f>
        <v>#REF!</v>
      </c>
      <c r="EW4" t="e">
        <f>AND(#REF!,"AAAAAH9uhpg=")</f>
        <v>#REF!</v>
      </c>
      <c r="EX4" t="e">
        <f>AND(#REF!,"AAAAAH9uhpk=")</f>
        <v>#REF!</v>
      </c>
      <c r="EY4" t="e">
        <f>AND(#REF!,"AAAAAH9uhpo=")</f>
        <v>#REF!</v>
      </c>
      <c r="EZ4" t="e">
        <f>AND(#REF!,"AAAAAH9uhps=")</f>
        <v>#REF!</v>
      </c>
      <c r="FA4" t="e">
        <f>AND(#REF!,"AAAAAH9uhpw=")</f>
        <v>#REF!</v>
      </c>
      <c r="FB4" t="e">
        <f>AND(#REF!,"AAAAAH9uhp0=")</f>
        <v>#REF!</v>
      </c>
      <c r="FC4" t="e">
        <f>AND(#REF!,"AAAAAH9uhp4=")</f>
        <v>#REF!</v>
      </c>
      <c r="FD4" t="e">
        <f>AND(#REF!,"AAAAAH9uhp8=")</f>
        <v>#REF!</v>
      </c>
      <c r="FE4" t="e">
        <f>AND(#REF!,"AAAAAH9uhqA=")</f>
        <v>#REF!</v>
      </c>
      <c r="FF4" t="e">
        <f>IF(#REF!,"AAAAAH9uhqE=",0)</f>
        <v>#REF!</v>
      </c>
      <c r="FG4" t="e">
        <f>AND(#REF!,"AAAAAH9uhqI=")</f>
        <v>#REF!</v>
      </c>
      <c r="FH4" t="e">
        <f>AND(#REF!,"AAAAAH9uhqM=")</f>
        <v>#REF!</v>
      </c>
      <c r="FI4" t="e">
        <f>AND(#REF!,"AAAAAH9uhqQ=")</f>
        <v>#REF!</v>
      </c>
      <c r="FJ4" t="e">
        <f>AND(#REF!,"AAAAAH9uhqU=")</f>
        <v>#REF!</v>
      </c>
      <c r="FK4" t="e">
        <f>AND(#REF!,"AAAAAH9uhqY=")</f>
        <v>#REF!</v>
      </c>
      <c r="FL4" t="e">
        <f>AND(#REF!,"AAAAAH9uhqc=")</f>
        <v>#REF!</v>
      </c>
      <c r="FM4" t="e">
        <f>AND(#REF!,"AAAAAH9uhqg=")</f>
        <v>#REF!</v>
      </c>
      <c r="FN4" t="e">
        <f>AND(#REF!,"AAAAAH9uhqk=")</f>
        <v>#REF!</v>
      </c>
      <c r="FO4" t="e">
        <f>AND(#REF!,"AAAAAH9uhqo=")</f>
        <v>#REF!</v>
      </c>
      <c r="FP4" t="e">
        <f>AND(#REF!,"AAAAAH9uhqs=")</f>
        <v>#REF!</v>
      </c>
      <c r="FQ4" t="e">
        <f>AND(#REF!,"AAAAAH9uhqw=")</f>
        <v>#REF!</v>
      </c>
      <c r="FR4" t="e">
        <f>AND(#REF!,"AAAAAH9uhq0=")</f>
        <v>#REF!</v>
      </c>
      <c r="FS4" t="e">
        <f>IF(#REF!,"AAAAAH9uhq4=",0)</f>
        <v>#REF!</v>
      </c>
      <c r="FT4" t="e">
        <f>AND(#REF!,"AAAAAH9uhq8=")</f>
        <v>#REF!</v>
      </c>
      <c r="FU4" t="e">
        <f>AND(#REF!,"AAAAAH9uhrA=")</f>
        <v>#REF!</v>
      </c>
      <c r="FV4" t="e">
        <f>AND(#REF!,"AAAAAH9uhrE=")</f>
        <v>#REF!</v>
      </c>
      <c r="FW4" t="e">
        <f>AND(#REF!,"AAAAAH9uhrI=")</f>
        <v>#REF!</v>
      </c>
      <c r="FX4" t="e">
        <f>AND(#REF!,"AAAAAH9uhrM=")</f>
        <v>#REF!</v>
      </c>
      <c r="FY4" t="e">
        <f>AND(#REF!,"AAAAAH9uhrQ=")</f>
        <v>#REF!</v>
      </c>
      <c r="FZ4" t="e">
        <f>AND(#REF!,"AAAAAH9uhrU=")</f>
        <v>#REF!</v>
      </c>
      <c r="GA4" t="e">
        <f>AND(#REF!,"AAAAAH9uhrY=")</f>
        <v>#REF!</v>
      </c>
      <c r="GB4" t="e">
        <f>AND(#REF!,"AAAAAH9uhrc=")</f>
        <v>#REF!</v>
      </c>
      <c r="GC4" t="e">
        <f>AND(#REF!,"AAAAAH9uhrg=")</f>
        <v>#REF!</v>
      </c>
      <c r="GD4" t="e">
        <f>AND(#REF!,"AAAAAH9uhrk=")</f>
        <v>#REF!</v>
      </c>
      <c r="GE4" t="e">
        <f>AND(#REF!,"AAAAAH9uhro=")</f>
        <v>#REF!</v>
      </c>
      <c r="GF4" t="e">
        <f>IF(#REF!,"AAAAAH9uhrs=",0)</f>
        <v>#REF!</v>
      </c>
      <c r="GG4" t="e">
        <f>AND(#REF!,"AAAAAH9uhrw=")</f>
        <v>#REF!</v>
      </c>
      <c r="GH4" t="e">
        <f>AND(#REF!,"AAAAAH9uhr0=")</f>
        <v>#REF!</v>
      </c>
      <c r="GI4" t="e">
        <f>AND(#REF!,"AAAAAH9uhr4=")</f>
        <v>#REF!</v>
      </c>
      <c r="GJ4" t="e">
        <f>AND(#REF!,"AAAAAH9uhr8=")</f>
        <v>#REF!</v>
      </c>
      <c r="GK4" t="e">
        <f>AND(#REF!,"AAAAAH9uhsA=")</f>
        <v>#REF!</v>
      </c>
      <c r="GL4" t="e">
        <f>AND(#REF!,"AAAAAH9uhsE=")</f>
        <v>#REF!</v>
      </c>
      <c r="GM4" t="e">
        <f>AND(#REF!,"AAAAAH9uhsI=")</f>
        <v>#REF!</v>
      </c>
      <c r="GN4" t="e">
        <f>AND(#REF!,"AAAAAH9uhsM=")</f>
        <v>#REF!</v>
      </c>
      <c r="GO4" t="e">
        <f>AND(#REF!,"AAAAAH9uhsQ=")</f>
        <v>#REF!</v>
      </c>
      <c r="GP4" t="e">
        <f>AND(#REF!,"AAAAAH9uhsU=")</f>
        <v>#REF!</v>
      </c>
      <c r="GQ4" t="e">
        <f>AND(#REF!,"AAAAAH9uhsY=")</f>
        <v>#REF!</v>
      </c>
      <c r="GR4" t="e">
        <f>AND(#REF!,"AAAAAH9uhsc=")</f>
        <v>#REF!</v>
      </c>
      <c r="GS4" t="e">
        <f>IF(#REF!,"AAAAAH9uhsg=",0)</f>
        <v>#REF!</v>
      </c>
      <c r="GT4" t="e">
        <f>AND(#REF!,"AAAAAH9uhsk=")</f>
        <v>#REF!</v>
      </c>
      <c r="GU4" t="e">
        <f>AND(#REF!,"AAAAAH9uhso=")</f>
        <v>#REF!</v>
      </c>
      <c r="GV4" t="e">
        <f>AND(#REF!,"AAAAAH9uhss=")</f>
        <v>#REF!</v>
      </c>
      <c r="GW4" t="e">
        <f>AND(#REF!,"AAAAAH9uhsw=")</f>
        <v>#REF!</v>
      </c>
      <c r="GX4" t="e">
        <f>AND(#REF!,"AAAAAH9uhs0=")</f>
        <v>#REF!</v>
      </c>
      <c r="GY4" t="e">
        <f>AND(#REF!,"AAAAAH9uhs4=")</f>
        <v>#REF!</v>
      </c>
      <c r="GZ4" t="e">
        <f>AND(#REF!,"AAAAAH9uhs8=")</f>
        <v>#REF!</v>
      </c>
      <c r="HA4" t="e">
        <f>AND(#REF!,"AAAAAH9uhtA=")</f>
        <v>#REF!</v>
      </c>
      <c r="HB4" t="e">
        <f>AND(#REF!,"AAAAAH9uhtE=")</f>
        <v>#REF!</v>
      </c>
      <c r="HC4" t="e">
        <f>AND(#REF!,"AAAAAH9uhtI=")</f>
        <v>#REF!</v>
      </c>
      <c r="HD4" t="e">
        <f>AND(#REF!,"AAAAAH9uhtM=")</f>
        <v>#REF!</v>
      </c>
      <c r="HE4" t="e">
        <f>AND(#REF!,"AAAAAH9uhtQ=")</f>
        <v>#REF!</v>
      </c>
      <c r="HF4" t="e">
        <f>IF(#REF!,"AAAAAH9uhtU=",0)</f>
        <v>#REF!</v>
      </c>
      <c r="HG4" t="e">
        <f>AND(#REF!,"AAAAAH9uhtY=")</f>
        <v>#REF!</v>
      </c>
      <c r="HH4" t="e">
        <f>AND(#REF!,"AAAAAH9uhtc=")</f>
        <v>#REF!</v>
      </c>
      <c r="HI4" t="e">
        <f>AND(#REF!,"AAAAAH9uhtg=")</f>
        <v>#REF!</v>
      </c>
      <c r="HJ4" t="e">
        <f>AND(#REF!,"AAAAAH9uhtk=")</f>
        <v>#REF!</v>
      </c>
      <c r="HK4" t="e">
        <f>AND(#REF!,"AAAAAH9uhto=")</f>
        <v>#REF!</v>
      </c>
      <c r="HL4" t="e">
        <f>AND(#REF!,"AAAAAH9uhts=")</f>
        <v>#REF!</v>
      </c>
      <c r="HM4" t="e">
        <f>AND(#REF!,"AAAAAH9uhtw=")</f>
        <v>#REF!</v>
      </c>
      <c r="HN4" t="e">
        <f>AND(#REF!,"AAAAAH9uht0=")</f>
        <v>#REF!</v>
      </c>
      <c r="HO4" t="e">
        <f>AND(#REF!,"AAAAAH9uht4=")</f>
        <v>#REF!</v>
      </c>
      <c r="HP4" t="e">
        <f>AND(#REF!,"AAAAAH9uht8=")</f>
        <v>#REF!</v>
      </c>
      <c r="HQ4" t="e">
        <f>AND(#REF!,"AAAAAH9uhuA=")</f>
        <v>#REF!</v>
      </c>
      <c r="HR4" t="e">
        <f>AND(#REF!,"AAAAAH9uhuE=")</f>
        <v>#REF!</v>
      </c>
      <c r="HS4" t="e">
        <f>IF(#REF!,"AAAAAH9uhuI=",0)</f>
        <v>#REF!</v>
      </c>
      <c r="HT4" t="e">
        <f>AND(#REF!,"AAAAAH9uhuM=")</f>
        <v>#REF!</v>
      </c>
      <c r="HU4" t="e">
        <f>AND(#REF!,"AAAAAH9uhuQ=")</f>
        <v>#REF!</v>
      </c>
      <c r="HV4" t="e">
        <f>AND(#REF!,"AAAAAH9uhuU=")</f>
        <v>#REF!</v>
      </c>
      <c r="HW4" t="e">
        <f>AND(#REF!,"AAAAAH9uhuY=")</f>
        <v>#REF!</v>
      </c>
      <c r="HX4" t="e">
        <f>AND(#REF!,"AAAAAH9uhuc=")</f>
        <v>#REF!</v>
      </c>
      <c r="HY4" t="e">
        <f>AND(#REF!,"AAAAAH9uhug=")</f>
        <v>#REF!</v>
      </c>
      <c r="HZ4" t="e">
        <f>AND(#REF!,"AAAAAH9uhuk=")</f>
        <v>#REF!</v>
      </c>
      <c r="IA4" t="e">
        <f>AND(#REF!,"AAAAAH9uhuo=")</f>
        <v>#REF!</v>
      </c>
      <c r="IB4" t="e">
        <f>AND(#REF!,"AAAAAH9uhus=")</f>
        <v>#REF!</v>
      </c>
      <c r="IC4" t="e">
        <f>AND(#REF!,"AAAAAH9uhuw=")</f>
        <v>#REF!</v>
      </c>
      <c r="ID4" t="e">
        <f>AND(#REF!,"AAAAAH9uhu0=")</f>
        <v>#REF!</v>
      </c>
      <c r="IE4" t="e">
        <f>AND(#REF!,"AAAAAH9uhu4=")</f>
        <v>#REF!</v>
      </c>
      <c r="IF4" t="e">
        <f>IF(#REF!,"AAAAAH9uhu8=",0)</f>
        <v>#REF!</v>
      </c>
      <c r="IG4" t="e">
        <f>AND(#REF!,"AAAAAH9uhvA=")</f>
        <v>#REF!</v>
      </c>
      <c r="IH4" t="e">
        <f>AND(#REF!,"AAAAAH9uhvE=")</f>
        <v>#REF!</v>
      </c>
      <c r="II4" t="e">
        <f>AND(#REF!,"AAAAAH9uhvI=")</f>
        <v>#REF!</v>
      </c>
      <c r="IJ4" t="e">
        <f>AND(#REF!,"AAAAAH9uhvM=")</f>
        <v>#REF!</v>
      </c>
      <c r="IK4" t="e">
        <f>AND(#REF!,"AAAAAH9uhvQ=")</f>
        <v>#REF!</v>
      </c>
      <c r="IL4" t="e">
        <f>AND(#REF!,"AAAAAH9uhvU=")</f>
        <v>#REF!</v>
      </c>
      <c r="IM4" t="e">
        <f>AND(#REF!,"AAAAAH9uhvY=")</f>
        <v>#REF!</v>
      </c>
      <c r="IN4" t="e">
        <f>AND(#REF!,"AAAAAH9uhvc=")</f>
        <v>#REF!</v>
      </c>
      <c r="IO4" t="e">
        <f>AND(#REF!,"AAAAAH9uhvg=")</f>
        <v>#REF!</v>
      </c>
      <c r="IP4" t="e">
        <f>AND(#REF!,"AAAAAH9uhvk=")</f>
        <v>#REF!</v>
      </c>
      <c r="IQ4" t="e">
        <f>AND(#REF!,"AAAAAH9uhvo=")</f>
        <v>#REF!</v>
      </c>
      <c r="IR4" t="e">
        <f>AND(#REF!,"AAAAAH9uhvs=")</f>
        <v>#REF!</v>
      </c>
      <c r="IS4" t="e">
        <f>IF(#REF!,"AAAAAH9uhvw=",0)</f>
        <v>#REF!</v>
      </c>
      <c r="IT4" t="e">
        <f>AND(#REF!,"AAAAAH9uhv0=")</f>
        <v>#REF!</v>
      </c>
      <c r="IU4" t="e">
        <f>AND(#REF!,"AAAAAH9uhv4=")</f>
        <v>#REF!</v>
      </c>
      <c r="IV4" t="e">
        <f>AND(#REF!,"AAAAAH9uhv8=")</f>
        <v>#REF!</v>
      </c>
    </row>
    <row r="5" spans="1:256" x14ac:dyDescent="0.2">
      <c r="A5" t="e">
        <f>AND(#REF!,"AAAAAG7lfwA=")</f>
        <v>#REF!</v>
      </c>
      <c r="B5" t="e">
        <f>AND(#REF!,"AAAAAG7lfwE=")</f>
        <v>#REF!</v>
      </c>
      <c r="C5" t="e">
        <f>AND(#REF!,"AAAAAG7lfwI=")</f>
        <v>#REF!</v>
      </c>
      <c r="D5" t="e">
        <f>AND(#REF!,"AAAAAG7lfwM=")</f>
        <v>#REF!</v>
      </c>
      <c r="E5" t="e">
        <f>AND(#REF!,"AAAAAG7lfwQ=")</f>
        <v>#REF!</v>
      </c>
      <c r="F5" t="e">
        <f>AND(#REF!,"AAAAAG7lfwU=")</f>
        <v>#REF!</v>
      </c>
      <c r="G5" t="e">
        <f>AND(#REF!,"AAAAAG7lfwY=")</f>
        <v>#REF!</v>
      </c>
      <c r="H5" t="e">
        <f>AND(#REF!,"AAAAAG7lfwc=")</f>
        <v>#REF!</v>
      </c>
      <c r="I5" t="e">
        <f>AND(#REF!,"AAAAAG7lfwg=")</f>
        <v>#REF!</v>
      </c>
      <c r="J5" t="e">
        <f>IF(#REF!,"AAAAAG7lfwk=",0)</f>
        <v>#REF!</v>
      </c>
      <c r="K5" t="e">
        <f>AND(#REF!,"AAAAAG7lfwo=")</f>
        <v>#REF!</v>
      </c>
      <c r="L5" t="e">
        <f>AND(#REF!,"AAAAAG7lfws=")</f>
        <v>#REF!</v>
      </c>
      <c r="M5" t="e">
        <f>AND(#REF!,"AAAAAG7lfww=")</f>
        <v>#REF!</v>
      </c>
      <c r="N5" t="e">
        <f>AND(#REF!,"AAAAAG7lfw0=")</f>
        <v>#REF!</v>
      </c>
      <c r="O5" t="e">
        <f>AND(#REF!,"AAAAAG7lfw4=")</f>
        <v>#REF!</v>
      </c>
      <c r="P5" t="e">
        <f>AND(#REF!,"AAAAAG7lfw8=")</f>
        <v>#REF!</v>
      </c>
      <c r="Q5" t="e">
        <f>AND(#REF!,"AAAAAG7lfxA=")</f>
        <v>#REF!</v>
      </c>
      <c r="R5" t="e">
        <f>AND(#REF!,"AAAAAG7lfxE=")</f>
        <v>#REF!</v>
      </c>
      <c r="S5" t="e">
        <f>AND(#REF!,"AAAAAG7lfxI=")</f>
        <v>#REF!</v>
      </c>
      <c r="T5" t="e">
        <f>AND(#REF!,"AAAAAG7lfxM=")</f>
        <v>#REF!</v>
      </c>
      <c r="U5" t="e">
        <f>AND(#REF!,"AAAAAG7lfxQ=")</f>
        <v>#REF!</v>
      </c>
      <c r="V5" t="e">
        <f>AND(#REF!,"AAAAAG7lfxU=")</f>
        <v>#REF!</v>
      </c>
      <c r="W5" t="e">
        <f>IF(#REF!,"AAAAAG7lfxY=",0)</f>
        <v>#REF!</v>
      </c>
      <c r="X5" t="e">
        <f>AND(#REF!,"AAAAAG7lfxc=")</f>
        <v>#REF!</v>
      </c>
      <c r="Y5" t="e">
        <f>AND(#REF!,"AAAAAG7lfxg=")</f>
        <v>#REF!</v>
      </c>
      <c r="Z5" t="e">
        <f>AND(#REF!,"AAAAAG7lfxk=")</f>
        <v>#REF!</v>
      </c>
      <c r="AA5" t="e">
        <f>AND(#REF!,"AAAAAG7lfxo=")</f>
        <v>#REF!</v>
      </c>
      <c r="AB5" t="e">
        <f>AND(#REF!,"AAAAAG7lfxs=")</f>
        <v>#REF!</v>
      </c>
      <c r="AC5" t="e">
        <f>AND(#REF!,"AAAAAG7lfxw=")</f>
        <v>#REF!</v>
      </c>
      <c r="AD5" t="e">
        <f>AND(#REF!,"AAAAAG7lfx0=")</f>
        <v>#REF!</v>
      </c>
      <c r="AE5" t="e">
        <f>AND(#REF!,"AAAAAG7lfx4=")</f>
        <v>#REF!</v>
      </c>
      <c r="AF5" t="e">
        <f>AND(#REF!,"AAAAAG7lfx8=")</f>
        <v>#REF!</v>
      </c>
      <c r="AG5" t="e">
        <f>AND(#REF!,"AAAAAG7lfyA=")</f>
        <v>#REF!</v>
      </c>
      <c r="AH5" t="e">
        <f>AND(#REF!,"AAAAAG7lfyE=")</f>
        <v>#REF!</v>
      </c>
      <c r="AI5" t="e">
        <f>AND(#REF!,"AAAAAG7lfyI=")</f>
        <v>#REF!</v>
      </c>
      <c r="AJ5" t="e">
        <f>IF(#REF!,"AAAAAG7lfyM=",0)</f>
        <v>#REF!</v>
      </c>
      <c r="AK5" t="e">
        <f>AND(#REF!,"AAAAAG7lfyQ=")</f>
        <v>#REF!</v>
      </c>
      <c r="AL5" t="e">
        <f>AND(#REF!,"AAAAAG7lfyU=")</f>
        <v>#REF!</v>
      </c>
      <c r="AM5" t="e">
        <f>AND(#REF!,"AAAAAG7lfyY=")</f>
        <v>#REF!</v>
      </c>
      <c r="AN5" t="e">
        <f>AND(#REF!,"AAAAAG7lfyc=")</f>
        <v>#REF!</v>
      </c>
      <c r="AO5" t="e">
        <f>AND(#REF!,"AAAAAG7lfyg=")</f>
        <v>#REF!</v>
      </c>
      <c r="AP5" t="e">
        <f>AND(#REF!,"AAAAAG7lfyk=")</f>
        <v>#REF!</v>
      </c>
      <c r="AQ5" t="e">
        <f>AND(#REF!,"AAAAAG7lfyo=")</f>
        <v>#REF!</v>
      </c>
      <c r="AR5" t="e">
        <f>AND(#REF!,"AAAAAG7lfys=")</f>
        <v>#REF!</v>
      </c>
      <c r="AS5" t="e">
        <f>AND(#REF!,"AAAAAG7lfyw=")</f>
        <v>#REF!</v>
      </c>
      <c r="AT5" t="e">
        <f>AND(#REF!,"AAAAAG7lfy0=")</f>
        <v>#REF!</v>
      </c>
      <c r="AU5" t="e">
        <f>AND(#REF!,"AAAAAG7lfy4=")</f>
        <v>#REF!</v>
      </c>
      <c r="AV5" t="e">
        <f>AND(#REF!,"AAAAAG7lfy8=")</f>
        <v>#REF!</v>
      </c>
      <c r="AW5" t="e">
        <f>IF(#REF!,"AAAAAG7lfzA=",0)</f>
        <v>#REF!</v>
      </c>
      <c r="AX5" t="e">
        <f>AND(#REF!,"AAAAAG7lfzE=")</f>
        <v>#REF!</v>
      </c>
      <c r="AY5" t="e">
        <f>AND(#REF!,"AAAAAG7lfzI=")</f>
        <v>#REF!</v>
      </c>
      <c r="AZ5" t="e">
        <f>AND(#REF!,"AAAAAG7lfzM=")</f>
        <v>#REF!</v>
      </c>
      <c r="BA5" t="e">
        <f>AND(#REF!,"AAAAAG7lfzQ=")</f>
        <v>#REF!</v>
      </c>
      <c r="BB5" t="e">
        <f>AND(#REF!,"AAAAAG7lfzU=")</f>
        <v>#REF!</v>
      </c>
      <c r="BC5" t="e">
        <f>AND(#REF!,"AAAAAG7lfzY=")</f>
        <v>#REF!</v>
      </c>
      <c r="BD5" t="e">
        <f>AND(#REF!,"AAAAAG7lfzc=")</f>
        <v>#REF!</v>
      </c>
      <c r="BE5" t="e">
        <f>AND(#REF!,"AAAAAG7lfzg=")</f>
        <v>#REF!</v>
      </c>
      <c r="BF5" t="e">
        <f>AND(#REF!,"AAAAAG7lfzk=")</f>
        <v>#REF!</v>
      </c>
      <c r="BG5" t="e">
        <f>AND(#REF!,"AAAAAG7lfzo=")</f>
        <v>#REF!</v>
      </c>
      <c r="BH5" t="e">
        <f>AND(#REF!,"AAAAAG7lfzs=")</f>
        <v>#REF!</v>
      </c>
      <c r="BI5" t="e">
        <f>AND(#REF!,"AAAAAG7lfzw=")</f>
        <v>#REF!</v>
      </c>
      <c r="BJ5" t="e">
        <f>IF(#REF!,"AAAAAG7lfz0=",0)</f>
        <v>#REF!</v>
      </c>
      <c r="BK5" t="e">
        <f>AND(#REF!,"AAAAAG7lfz4=")</f>
        <v>#REF!</v>
      </c>
      <c r="BL5" t="e">
        <f>AND(#REF!,"AAAAAG7lfz8=")</f>
        <v>#REF!</v>
      </c>
      <c r="BM5" t="e">
        <f>AND(#REF!,"AAAAAG7lf0A=")</f>
        <v>#REF!</v>
      </c>
      <c r="BN5" t="e">
        <f>AND(#REF!,"AAAAAG7lf0E=")</f>
        <v>#REF!</v>
      </c>
      <c r="BO5" t="e">
        <f>AND(#REF!,"AAAAAG7lf0I=")</f>
        <v>#REF!</v>
      </c>
      <c r="BP5" t="e">
        <f>AND(#REF!,"AAAAAG7lf0M=")</f>
        <v>#REF!</v>
      </c>
      <c r="BQ5" t="e">
        <f>AND(#REF!,"AAAAAG7lf0Q=")</f>
        <v>#REF!</v>
      </c>
      <c r="BR5" t="e">
        <f>AND(#REF!,"AAAAAG7lf0U=")</f>
        <v>#REF!</v>
      </c>
      <c r="BS5" t="e">
        <f>AND(#REF!,"AAAAAG7lf0Y=")</f>
        <v>#REF!</v>
      </c>
      <c r="BT5" t="e">
        <f>AND(#REF!,"AAAAAG7lf0c=")</f>
        <v>#REF!</v>
      </c>
      <c r="BU5" t="e">
        <f>AND(#REF!,"AAAAAG7lf0g=")</f>
        <v>#REF!</v>
      </c>
      <c r="BV5" t="e">
        <f>AND(#REF!,"AAAAAG7lf0k=")</f>
        <v>#REF!</v>
      </c>
      <c r="BW5" t="e">
        <f>IF(#REF!,"AAAAAG7lf0o=",0)</f>
        <v>#REF!</v>
      </c>
      <c r="BX5" t="e">
        <f>AND(#REF!,"AAAAAG7lf0s=")</f>
        <v>#REF!</v>
      </c>
      <c r="BY5" t="e">
        <f>AND(#REF!,"AAAAAG7lf0w=")</f>
        <v>#REF!</v>
      </c>
      <c r="BZ5" t="e">
        <f>AND(#REF!,"AAAAAG7lf00=")</f>
        <v>#REF!</v>
      </c>
      <c r="CA5" t="e">
        <f>AND(#REF!,"AAAAAG7lf04=")</f>
        <v>#REF!</v>
      </c>
      <c r="CB5" t="e">
        <f>AND(#REF!,"AAAAAG7lf08=")</f>
        <v>#REF!</v>
      </c>
      <c r="CC5" t="e">
        <f>AND(#REF!,"AAAAAG7lf1A=")</f>
        <v>#REF!</v>
      </c>
      <c r="CD5" t="e">
        <f>AND(#REF!,"AAAAAG7lf1E=")</f>
        <v>#REF!</v>
      </c>
      <c r="CE5" t="e">
        <f>AND(#REF!,"AAAAAG7lf1I=")</f>
        <v>#REF!</v>
      </c>
      <c r="CF5" t="e">
        <f>AND(#REF!,"AAAAAG7lf1M=")</f>
        <v>#REF!</v>
      </c>
      <c r="CG5" t="e">
        <f>AND(#REF!,"AAAAAG7lf1Q=")</f>
        <v>#REF!</v>
      </c>
      <c r="CH5" t="e">
        <f>AND(#REF!,"AAAAAG7lf1U=")</f>
        <v>#REF!</v>
      </c>
      <c r="CI5" t="e">
        <f>AND(#REF!,"AAAAAG7lf1Y=")</f>
        <v>#REF!</v>
      </c>
      <c r="CJ5" t="e">
        <f>IF(#REF!,"AAAAAG7lf1c=",0)</f>
        <v>#REF!</v>
      </c>
      <c r="CK5" t="e">
        <f>AND(#REF!,"AAAAAG7lf1g=")</f>
        <v>#REF!</v>
      </c>
      <c r="CL5" t="e">
        <f>AND(#REF!,"AAAAAG7lf1k=")</f>
        <v>#REF!</v>
      </c>
      <c r="CM5" t="e">
        <f>AND(#REF!,"AAAAAG7lf1o=")</f>
        <v>#REF!</v>
      </c>
      <c r="CN5" t="e">
        <f>AND(#REF!,"AAAAAG7lf1s=")</f>
        <v>#REF!</v>
      </c>
      <c r="CO5" t="e">
        <f>AND(#REF!,"AAAAAG7lf1w=")</f>
        <v>#REF!</v>
      </c>
      <c r="CP5" t="e">
        <f>AND(#REF!,"AAAAAG7lf10=")</f>
        <v>#REF!</v>
      </c>
      <c r="CQ5" t="e">
        <f>AND(#REF!,"AAAAAG7lf14=")</f>
        <v>#REF!</v>
      </c>
      <c r="CR5" t="e">
        <f>AND(#REF!,"AAAAAG7lf18=")</f>
        <v>#REF!</v>
      </c>
      <c r="CS5" t="e">
        <f>AND(#REF!,"AAAAAG7lf2A=")</f>
        <v>#REF!</v>
      </c>
      <c r="CT5" t="e">
        <f>AND(#REF!,"AAAAAG7lf2E=")</f>
        <v>#REF!</v>
      </c>
      <c r="CU5" t="e">
        <f>AND(#REF!,"AAAAAG7lf2I=")</f>
        <v>#REF!</v>
      </c>
      <c r="CV5" t="e">
        <f>AND(#REF!,"AAAAAG7lf2M=")</f>
        <v>#REF!</v>
      </c>
      <c r="CW5" t="e">
        <f>IF(#REF!,"AAAAAG7lf2Q=",0)</f>
        <v>#REF!</v>
      </c>
      <c r="CX5" t="e">
        <f>AND(#REF!,"AAAAAG7lf2U=")</f>
        <v>#REF!</v>
      </c>
      <c r="CY5" t="e">
        <f>AND(#REF!,"AAAAAG7lf2Y=")</f>
        <v>#REF!</v>
      </c>
      <c r="CZ5" t="e">
        <f>AND(#REF!,"AAAAAG7lf2c=")</f>
        <v>#REF!</v>
      </c>
      <c r="DA5" t="e">
        <f>AND(#REF!,"AAAAAG7lf2g=")</f>
        <v>#REF!</v>
      </c>
      <c r="DB5" t="e">
        <f>AND(#REF!,"AAAAAG7lf2k=")</f>
        <v>#REF!</v>
      </c>
      <c r="DC5" t="e">
        <f>AND(#REF!,"AAAAAG7lf2o=")</f>
        <v>#REF!</v>
      </c>
      <c r="DD5" t="e">
        <f>AND(#REF!,"AAAAAG7lf2s=")</f>
        <v>#REF!</v>
      </c>
      <c r="DE5" t="e">
        <f>AND(#REF!,"AAAAAG7lf2w=")</f>
        <v>#REF!</v>
      </c>
      <c r="DF5" t="e">
        <f>AND(#REF!,"AAAAAG7lf20=")</f>
        <v>#REF!</v>
      </c>
      <c r="DG5" t="e">
        <f>AND(#REF!,"AAAAAG7lf24=")</f>
        <v>#REF!</v>
      </c>
      <c r="DH5" t="e">
        <f>AND(#REF!,"AAAAAG7lf28=")</f>
        <v>#REF!</v>
      </c>
      <c r="DI5" t="e">
        <f>AND(#REF!,"AAAAAG7lf3A=")</f>
        <v>#REF!</v>
      </c>
      <c r="DJ5" t="e">
        <f>IF(#REF!,"AAAAAG7lf3E=",0)</f>
        <v>#REF!</v>
      </c>
      <c r="DK5" t="e">
        <f>AND(#REF!,"AAAAAG7lf3I=")</f>
        <v>#REF!</v>
      </c>
      <c r="DL5" t="e">
        <f>AND(#REF!,"AAAAAG7lf3M=")</f>
        <v>#REF!</v>
      </c>
      <c r="DM5" t="e">
        <f>AND(#REF!,"AAAAAG7lf3Q=")</f>
        <v>#REF!</v>
      </c>
      <c r="DN5" t="e">
        <f>AND(#REF!,"AAAAAG7lf3U=")</f>
        <v>#REF!</v>
      </c>
      <c r="DO5" t="e">
        <f>AND(#REF!,"AAAAAG7lf3Y=")</f>
        <v>#REF!</v>
      </c>
      <c r="DP5" t="e">
        <f>AND(#REF!,"AAAAAG7lf3c=")</f>
        <v>#REF!</v>
      </c>
      <c r="DQ5" t="e">
        <f>AND(#REF!,"AAAAAG7lf3g=")</f>
        <v>#REF!</v>
      </c>
      <c r="DR5" t="e">
        <f>AND(#REF!,"AAAAAG7lf3k=")</f>
        <v>#REF!</v>
      </c>
      <c r="DS5" t="e">
        <f>AND(#REF!,"AAAAAG7lf3o=")</f>
        <v>#REF!</v>
      </c>
      <c r="DT5" t="e">
        <f>AND(#REF!,"AAAAAG7lf3s=")</f>
        <v>#REF!</v>
      </c>
      <c r="DU5" t="e">
        <f>AND(#REF!,"AAAAAG7lf3w=")</f>
        <v>#REF!</v>
      </c>
      <c r="DV5" t="e">
        <f>AND(#REF!,"AAAAAG7lf30=")</f>
        <v>#REF!</v>
      </c>
      <c r="DW5" t="e">
        <f>IF(#REF!,"AAAAAG7lf34=",0)</f>
        <v>#REF!</v>
      </c>
      <c r="DX5" t="e">
        <f>AND(#REF!,"AAAAAG7lf38=")</f>
        <v>#REF!</v>
      </c>
      <c r="DY5" t="e">
        <f>AND(#REF!,"AAAAAG7lf4A=")</f>
        <v>#REF!</v>
      </c>
      <c r="DZ5" t="e">
        <f>AND(#REF!,"AAAAAG7lf4E=")</f>
        <v>#REF!</v>
      </c>
      <c r="EA5" t="e">
        <f>AND(#REF!,"AAAAAG7lf4I=")</f>
        <v>#REF!</v>
      </c>
      <c r="EB5" t="e">
        <f>AND(#REF!,"AAAAAG7lf4M=")</f>
        <v>#REF!</v>
      </c>
      <c r="EC5" t="e">
        <f>AND(#REF!,"AAAAAG7lf4Q=")</f>
        <v>#REF!</v>
      </c>
      <c r="ED5" t="e">
        <f>AND(#REF!,"AAAAAG7lf4U=")</f>
        <v>#REF!</v>
      </c>
      <c r="EE5" t="e">
        <f>AND(#REF!,"AAAAAG7lf4Y=")</f>
        <v>#REF!</v>
      </c>
      <c r="EF5" t="e">
        <f>AND(#REF!,"AAAAAG7lf4c=")</f>
        <v>#REF!</v>
      </c>
      <c r="EG5" t="e">
        <f>AND(#REF!,"AAAAAG7lf4g=")</f>
        <v>#REF!</v>
      </c>
      <c r="EH5" t="e">
        <f>AND(#REF!,"AAAAAG7lf4k=")</f>
        <v>#REF!</v>
      </c>
      <c r="EI5" t="e">
        <f>AND(#REF!,"AAAAAG7lf4o=")</f>
        <v>#REF!</v>
      </c>
      <c r="EJ5" t="e">
        <f>IF(#REF!,"AAAAAG7lf4s=",0)</f>
        <v>#REF!</v>
      </c>
      <c r="EK5" t="e">
        <f>AND(#REF!,"AAAAAG7lf4w=")</f>
        <v>#REF!</v>
      </c>
      <c r="EL5" t="e">
        <f>AND(#REF!,"AAAAAG7lf40=")</f>
        <v>#REF!</v>
      </c>
      <c r="EM5" t="e">
        <f>AND(#REF!,"AAAAAG7lf44=")</f>
        <v>#REF!</v>
      </c>
      <c r="EN5" t="e">
        <f>AND(#REF!,"AAAAAG7lf48=")</f>
        <v>#REF!</v>
      </c>
      <c r="EO5" t="e">
        <f>AND(#REF!,"AAAAAG7lf5A=")</f>
        <v>#REF!</v>
      </c>
      <c r="EP5" t="e">
        <f>AND(#REF!,"AAAAAG7lf5E=")</f>
        <v>#REF!</v>
      </c>
      <c r="EQ5" t="e">
        <f>AND(#REF!,"AAAAAG7lf5I=")</f>
        <v>#REF!</v>
      </c>
      <c r="ER5" t="e">
        <f>AND(#REF!,"AAAAAG7lf5M=")</f>
        <v>#REF!</v>
      </c>
      <c r="ES5" t="e">
        <f>AND(#REF!,"AAAAAG7lf5Q=")</f>
        <v>#REF!</v>
      </c>
      <c r="ET5" t="e">
        <f>AND(#REF!,"AAAAAG7lf5U=")</f>
        <v>#REF!</v>
      </c>
      <c r="EU5" t="e">
        <f>AND(#REF!,"AAAAAG7lf5Y=")</f>
        <v>#REF!</v>
      </c>
      <c r="EV5" t="e">
        <f>AND(#REF!,"AAAAAG7lf5c=")</f>
        <v>#REF!</v>
      </c>
      <c r="EW5" t="e">
        <f>IF(#REF!,"AAAAAG7lf5g=",0)</f>
        <v>#REF!</v>
      </c>
      <c r="EX5" t="e">
        <f>AND(#REF!,"AAAAAG7lf5k=")</f>
        <v>#REF!</v>
      </c>
      <c r="EY5" t="e">
        <f>AND(#REF!,"AAAAAG7lf5o=")</f>
        <v>#REF!</v>
      </c>
      <c r="EZ5" t="e">
        <f>AND(#REF!,"AAAAAG7lf5s=")</f>
        <v>#REF!</v>
      </c>
      <c r="FA5" t="e">
        <f>AND(#REF!,"AAAAAG7lf5w=")</f>
        <v>#REF!</v>
      </c>
      <c r="FB5" t="e">
        <f>AND(#REF!,"AAAAAG7lf50=")</f>
        <v>#REF!</v>
      </c>
      <c r="FC5" t="e">
        <f>AND(#REF!,"AAAAAG7lf54=")</f>
        <v>#REF!</v>
      </c>
      <c r="FD5" t="e">
        <f>AND(#REF!,"AAAAAG7lf58=")</f>
        <v>#REF!</v>
      </c>
      <c r="FE5" t="e">
        <f>AND(#REF!,"AAAAAG7lf6A=")</f>
        <v>#REF!</v>
      </c>
      <c r="FF5" t="e">
        <f>AND(#REF!,"AAAAAG7lf6E=")</f>
        <v>#REF!</v>
      </c>
      <c r="FG5" t="e">
        <f>AND(#REF!,"AAAAAG7lf6I=")</f>
        <v>#REF!</v>
      </c>
      <c r="FH5" t="e">
        <f>AND(#REF!,"AAAAAG7lf6M=")</f>
        <v>#REF!</v>
      </c>
      <c r="FI5" t="e">
        <f>AND(#REF!,"AAAAAG7lf6Q=")</f>
        <v>#REF!</v>
      </c>
      <c r="FJ5" t="e">
        <f>IF(#REF!,"AAAAAG7lf6U=",0)</f>
        <v>#REF!</v>
      </c>
      <c r="FK5" t="e">
        <f>AND(#REF!,"AAAAAG7lf6Y=")</f>
        <v>#REF!</v>
      </c>
      <c r="FL5" t="e">
        <f>AND(#REF!,"AAAAAG7lf6c=")</f>
        <v>#REF!</v>
      </c>
      <c r="FM5" t="e">
        <f>AND(#REF!,"AAAAAG7lf6g=")</f>
        <v>#REF!</v>
      </c>
      <c r="FN5" t="e">
        <f>AND(#REF!,"AAAAAG7lf6k=")</f>
        <v>#REF!</v>
      </c>
      <c r="FO5" t="e">
        <f>AND(#REF!,"AAAAAG7lf6o=")</f>
        <v>#REF!</v>
      </c>
      <c r="FP5" t="e">
        <f>AND(#REF!,"AAAAAG7lf6s=")</f>
        <v>#REF!</v>
      </c>
      <c r="FQ5" t="e">
        <f>AND(#REF!,"AAAAAG7lf6w=")</f>
        <v>#REF!</v>
      </c>
      <c r="FR5" t="e">
        <f>AND(#REF!,"AAAAAG7lf60=")</f>
        <v>#REF!</v>
      </c>
      <c r="FS5" t="e">
        <f>AND(#REF!,"AAAAAG7lf64=")</f>
        <v>#REF!</v>
      </c>
      <c r="FT5" t="e">
        <f>AND(#REF!,"AAAAAG7lf68=")</f>
        <v>#REF!</v>
      </c>
      <c r="FU5" t="e">
        <f>AND(#REF!,"AAAAAG7lf7A=")</f>
        <v>#REF!</v>
      </c>
      <c r="FV5" t="e">
        <f>AND(#REF!,"AAAAAG7lf7E=")</f>
        <v>#REF!</v>
      </c>
      <c r="FW5" t="e">
        <f>IF(#REF!,"AAAAAG7lf7I=",0)</f>
        <v>#REF!</v>
      </c>
      <c r="FX5" t="e">
        <f>AND(#REF!,"AAAAAG7lf7M=")</f>
        <v>#REF!</v>
      </c>
      <c r="FY5" t="e">
        <f>AND(#REF!,"AAAAAG7lf7Q=")</f>
        <v>#REF!</v>
      </c>
      <c r="FZ5" t="e">
        <f>AND(#REF!,"AAAAAG7lf7U=")</f>
        <v>#REF!</v>
      </c>
      <c r="GA5" t="e">
        <f>AND(#REF!,"AAAAAG7lf7Y=")</f>
        <v>#REF!</v>
      </c>
      <c r="GB5" t="e">
        <f>AND(#REF!,"AAAAAG7lf7c=")</f>
        <v>#REF!</v>
      </c>
      <c r="GC5" t="e">
        <f>AND(#REF!,"AAAAAG7lf7g=")</f>
        <v>#REF!</v>
      </c>
      <c r="GD5" t="e">
        <f>AND(#REF!,"AAAAAG7lf7k=")</f>
        <v>#REF!</v>
      </c>
      <c r="GE5" t="e">
        <f>AND(#REF!,"AAAAAG7lf7o=")</f>
        <v>#REF!</v>
      </c>
      <c r="GF5" t="e">
        <f>AND(#REF!,"AAAAAG7lf7s=")</f>
        <v>#REF!</v>
      </c>
      <c r="GG5" t="e">
        <f>AND(#REF!,"AAAAAG7lf7w=")</f>
        <v>#REF!</v>
      </c>
      <c r="GH5" t="e">
        <f>AND(#REF!,"AAAAAG7lf70=")</f>
        <v>#REF!</v>
      </c>
      <c r="GI5" t="e">
        <f>AND(#REF!,"AAAAAG7lf74=")</f>
        <v>#REF!</v>
      </c>
      <c r="GJ5" t="e">
        <f>IF(#REF!,"AAAAAG7lf78=",0)</f>
        <v>#REF!</v>
      </c>
      <c r="GK5" t="e">
        <f>AND(#REF!,"AAAAAG7lf8A=")</f>
        <v>#REF!</v>
      </c>
      <c r="GL5" t="e">
        <f>AND(#REF!,"AAAAAG7lf8E=")</f>
        <v>#REF!</v>
      </c>
      <c r="GM5" t="e">
        <f>AND(#REF!,"AAAAAG7lf8I=")</f>
        <v>#REF!</v>
      </c>
      <c r="GN5" t="e">
        <f>AND(#REF!,"AAAAAG7lf8M=")</f>
        <v>#REF!</v>
      </c>
      <c r="GO5" t="e">
        <f>AND(#REF!,"AAAAAG7lf8Q=")</f>
        <v>#REF!</v>
      </c>
      <c r="GP5" t="e">
        <f>AND(#REF!,"AAAAAG7lf8U=")</f>
        <v>#REF!</v>
      </c>
      <c r="GQ5" t="e">
        <f>AND(#REF!,"AAAAAG7lf8Y=")</f>
        <v>#REF!</v>
      </c>
      <c r="GR5" t="e">
        <f>AND(#REF!,"AAAAAG7lf8c=")</f>
        <v>#REF!</v>
      </c>
      <c r="GS5" t="e">
        <f>AND(#REF!,"AAAAAG7lf8g=")</f>
        <v>#REF!</v>
      </c>
      <c r="GT5" t="e">
        <f>AND(#REF!,"AAAAAG7lf8k=")</f>
        <v>#REF!</v>
      </c>
      <c r="GU5" t="e">
        <f>AND(#REF!,"AAAAAG7lf8o=")</f>
        <v>#REF!</v>
      </c>
      <c r="GV5" t="e">
        <f>AND(#REF!,"AAAAAG7lf8s=")</f>
        <v>#REF!</v>
      </c>
      <c r="GW5" t="e">
        <f>IF(#REF!,"AAAAAG7lf8w=",0)</f>
        <v>#REF!</v>
      </c>
      <c r="GX5" t="e">
        <f>AND(#REF!,"AAAAAG7lf80=")</f>
        <v>#REF!</v>
      </c>
      <c r="GY5" t="e">
        <f>AND(#REF!,"AAAAAG7lf84=")</f>
        <v>#REF!</v>
      </c>
      <c r="GZ5" t="e">
        <f>AND(#REF!,"AAAAAG7lf88=")</f>
        <v>#REF!</v>
      </c>
      <c r="HA5" t="e">
        <f>AND(#REF!,"AAAAAG7lf9A=")</f>
        <v>#REF!</v>
      </c>
      <c r="HB5" t="e">
        <f>AND(#REF!,"AAAAAG7lf9E=")</f>
        <v>#REF!</v>
      </c>
      <c r="HC5" t="e">
        <f>AND(#REF!,"AAAAAG7lf9I=")</f>
        <v>#REF!</v>
      </c>
      <c r="HD5" t="e">
        <f>AND(#REF!,"AAAAAG7lf9M=")</f>
        <v>#REF!</v>
      </c>
      <c r="HE5" t="e">
        <f>AND(#REF!,"AAAAAG7lf9Q=")</f>
        <v>#REF!</v>
      </c>
      <c r="HF5" t="e">
        <f>AND(#REF!,"AAAAAG7lf9U=")</f>
        <v>#REF!</v>
      </c>
      <c r="HG5" t="e">
        <f>AND(#REF!,"AAAAAG7lf9Y=")</f>
        <v>#REF!</v>
      </c>
      <c r="HH5" t="e">
        <f>AND(#REF!,"AAAAAG7lf9c=")</f>
        <v>#REF!</v>
      </c>
      <c r="HI5" t="e">
        <f>AND(#REF!,"AAAAAG7lf9g=")</f>
        <v>#REF!</v>
      </c>
      <c r="HJ5" t="e">
        <f>IF(#REF!,"AAAAAG7lf9k=",0)</f>
        <v>#REF!</v>
      </c>
      <c r="HK5" t="e">
        <f>AND(#REF!,"AAAAAG7lf9o=")</f>
        <v>#REF!</v>
      </c>
      <c r="HL5" t="e">
        <f>AND(#REF!,"AAAAAG7lf9s=")</f>
        <v>#REF!</v>
      </c>
      <c r="HM5" t="e">
        <f>AND(#REF!,"AAAAAG7lf9w=")</f>
        <v>#REF!</v>
      </c>
      <c r="HN5" t="e">
        <f>AND(#REF!,"AAAAAG7lf90=")</f>
        <v>#REF!</v>
      </c>
      <c r="HO5" t="e">
        <f>AND(#REF!,"AAAAAG7lf94=")</f>
        <v>#REF!</v>
      </c>
      <c r="HP5" t="e">
        <f>AND(#REF!,"AAAAAG7lf98=")</f>
        <v>#REF!</v>
      </c>
      <c r="HQ5" t="e">
        <f>AND(#REF!,"AAAAAG7lf+A=")</f>
        <v>#REF!</v>
      </c>
      <c r="HR5" t="e">
        <f>AND(#REF!,"AAAAAG7lf+E=")</f>
        <v>#REF!</v>
      </c>
      <c r="HS5" t="e">
        <f>AND(#REF!,"AAAAAG7lf+I=")</f>
        <v>#REF!</v>
      </c>
      <c r="HT5" t="e">
        <f>AND(#REF!,"AAAAAG7lf+M=")</f>
        <v>#REF!</v>
      </c>
      <c r="HU5" t="e">
        <f>AND(#REF!,"AAAAAG7lf+Q=")</f>
        <v>#REF!</v>
      </c>
      <c r="HV5" t="e">
        <f>AND(#REF!,"AAAAAG7lf+U=")</f>
        <v>#REF!</v>
      </c>
      <c r="HW5" t="e">
        <f>IF(#REF!,"AAAAAG7lf+Y=",0)</f>
        <v>#REF!</v>
      </c>
      <c r="HX5" t="e">
        <f>AND(#REF!,"AAAAAG7lf+c=")</f>
        <v>#REF!</v>
      </c>
      <c r="HY5" t="e">
        <f>AND(#REF!,"AAAAAG7lf+g=")</f>
        <v>#REF!</v>
      </c>
      <c r="HZ5" t="e">
        <f>AND(#REF!,"AAAAAG7lf+k=")</f>
        <v>#REF!</v>
      </c>
      <c r="IA5" t="e">
        <f>AND(#REF!,"AAAAAG7lf+o=")</f>
        <v>#REF!</v>
      </c>
      <c r="IB5" t="e">
        <f>AND(#REF!,"AAAAAG7lf+s=")</f>
        <v>#REF!</v>
      </c>
      <c r="IC5" t="e">
        <f>AND(#REF!,"AAAAAG7lf+w=")</f>
        <v>#REF!</v>
      </c>
      <c r="ID5" t="e">
        <f>AND(#REF!,"AAAAAG7lf+0=")</f>
        <v>#REF!</v>
      </c>
      <c r="IE5" t="e">
        <f>AND(#REF!,"AAAAAG7lf+4=")</f>
        <v>#REF!</v>
      </c>
      <c r="IF5" t="e">
        <f>AND(#REF!,"AAAAAG7lf+8=")</f>
        <v>#REF!</v>
      </c>
      <c r="IG5" t="e">
        <f>AND(#REF!,"AAAAAG7lf/A=")</f>
        <v>#REF!</v>
      </c>
      <c r="IH5" t="e">
        <f>AND(#REF!,"AAAAAG7lf/E=")</f>
        <v>#REF!</v>
      </c>
      <c r="II5" t="e">
        <f>AND(#REF!,"AAAAAG7lf/I=")</f>
        <v>#REF!</v>
      </c>
      <c r="IJ5" t="e">
        <f>IF(#REF!,"AAAAAG7lf/M=",0)</f>
        <v>#REF!</v>
      </c>
      <c r="IK5" t="e">
        <f>AND(#REF!,"AAAAAG7lf/Q=")</f>
        <v>#REF!</v>
      </c>
      <c r="IL5" t="e">
        <f>AND(#REF!,"AAAAAG7lf/U=")</f>
        <v>#REF!</v>
      </c>
      <c r="IM5" t="e">
        <f>AND(#REF!,"AAAAAG7lf/Y=")</f>
        <v>#REF!</v>
      </c>
      <c r="IN5" t="e">
        <f>AND(#REF!,"AAAAAG7lf/c=")</f>
        <v>#REF!</v>
      </c>
      <c r="IO5" t="e">
        <f>AND(#REF!,"AAAAAG7lf/g=")</f>
        <v>#REF!</v>
      </c>
      <c r="IP5" t="e">
        <f>AND(#REF!,"AAAAAG7lf/k=")</f>
        <v>#REF!</v>
      </c>
      <c r="IQ5" t="e">
        <f>AND(#REF!,"AAAAAG7lf/o=")</f>
        <v>#REF!</v>
      </c>
      <c r="IR5" t="e">
        <f>AND(#REF!,"AAAAAG7lf/s=")</f>
        <v>#REF!</v>
      </c>
      <c r="IS5" t="e">
        <f>AND(#REF!,"AAAAAG7lf/w=")</f>
        <v>#REF!</v>
      </c>
      <c r="IT5" t="e">
        <f>AND(#REF!,"AAAAAG7lf/0=")</f>
        <v>#REF!</v>
      </c>
      <c r="IU5" t="e">
        <f>AND(#REF!,"AAAAAG7lf/4=")</f>
        <v>#REF!</v>
      </c>
      <c r="IV5" t="e">
        <f>AND(#REF!,"AAAAAG7lf/8=")</f>
        <v>#REF!</v>
      </c>
    </row>
    <row r="6" spans="1:256" x14ac:dyDescent="0.2">
      <c r="A6" t="e">
        <f>IF(#REF!,"AAAAADq/7wA=",0)</f>
        <v>#REF!</v>
      </c>
      <c r="B6" t="e">
        <f>AND(#REF!,"AAAAADq/7wE=")</f>
        <v>#REF!</v>
      </c>
      <c r="C6" t="e">
        <f>AND(#REF!,"AAAAADq/7wI=")</f>
        <v>#REF!</v>
      </c>
      <c r="D6" t="e">
        <f>AND(#REF!,"AAAAADq/7wM=")</f>
        <v>#REF!</v>
      </c>
      <c r="E6" t="e">
        <f>AND(#REF!,"AAAAADq/7wQ=")</f>
        <v>#REF!</v>
      </c>
      <c r="F6" t="e">
        <f>AND(#REF!,"AAAAADq/7wU=")</f>
        <v>#REF!</v>
      </c>
      <c r="G6" t="e">
        <f>AND(#REF!,"AAAAADq/7wY=")</f>
        <v>#REF!</v>
      </c>
      <c r="H6" t="e">
        <f>AND(#REF!,"AAAAADq/7wc=")</f>
        <v>#REF!</v>
      </c>
      <c r="I6" t="e">
        <f>AND(#REF!,"AAAAADq/7wg=")</f>
        <v>#REF!</v>
      </c>
      <c r="J6" t="e">
        <f>AND(#REF!,"AAAAADq/7wk=")</f>
        <v>#REF!</v>
      </c>
      <c r="K6" t="e">
        <f>AND(#REF!,"AAAAADq/7wo=")</f>
        <v>#REF!</v>
      </c>
      <c r="L6" t="e">
        <f>AND(#REF!,"AAAAADq/7ws=")</f>
        <v>#REF!</v>
      </c>
      <c r="M6" t="e">
        <f>AND(#REF!,"AAAAADq/7ww=")</f>
        <v>#REF!</v>
      </c>
      <c r="N6" t="e">
        <f>IF(#REF!,"AAAAADq/7w0=",0)</f>
        <v>#REF!</v>
      </c>
      <c r="O6" t="e">
        <f>AND(#REF!,"AAAAADq/7w4=")</f>
        <v>#REF!</v>
      </c>
      <c r="P6" t="e">
        <f>AND(#REF!,"AAAAADq/7w8=")</f>
        <v>#REF!</v>
      </c>
      <c r="Q6" t="e">
        <f>AND(#REF!,"AAAAADq/7xA=")</f>
        <v>#REF!</v>
      </c>
      <c r="R6" t="e">
        <f>AND(#REF!,"AAAAADq/7xE=")</f>
        <v>#REF!</v>
      </c>
      <c r="S6" t="e">
        <f>AND(#REF!,"AAAAADq/7xI=")</f>
        <v>#REF!</v>
      </c>
      <c r="T6" t="e">
        <f>AND(#REF!,"AAAAADq/7xM=")</f>
        <v>#REF!</v>
      </c>
      <c r="U6" t="e">
        <f>AND(#REF!,"AAAAADq/7xQ=")</f>
        <v>#REF!</v>
      </c>
      <c r="V6" t="e">
        <f>AND(#REF!,"AAAAADq/7xU=")</f>
        <v>#REF!</v>
      </c>
      <c r="W6" t="e">
        <f>AND(#REF!,"AAAAADq/7xY=")</f>
        <v>#REF!</v>
      </c>
      <c r="X6" t="e">
        <f>AND(#REF!,"AAAAADq/7xc=")</f>
        <v>#REF!</v>
      </c>
      <c r="Y6" t="e">
        <f>AND(#REF!,"AAAAADq/7xg=")</f>
        <v>#REF!</v>
      </c>
      <c r="Z6" t="e">
        <f>AND(#REF!,"AAAAADq/7xk=")</f>
        <v>#REF!</v>
      </c>
      <c r="AA6" t="e">
        <f>IF(#REF!,"AAAAADq/7xo=",0)</f>
        <v>#REF!</v>
      </c>
      <c r="AB6" t="e">
        <f>AND(#REF!,"AAAAADq/7xs=")</f>
        <v>#REF!</v>
      </c>
      <c r="AC6" t="e">
        <f>AND(#REF!,"AAAAADq/7xw=")</f>
        <v>#REF!</v>
      </c>
      <c r="AD6" t="e">
        <f>AND(#REF!,"AAAAADq/7x0=")</f>
        <v>#REF!</v>
      </c>
      <c r="AE6" t="e">
        <f>AND(#REF!,"AAAAADq/7x4=")</f>
        <v>#REF!</v>
      </c>
      <c r="AF6" t="e">
        <f>AND(#REF!,"AAAAADq/7x8=")</f>
        <v>#REF!</v>
      </c>
      <c r="AG6" t="e">
        <f>AND(#REF!,"AAAAADq/7yA=")</f>
        <v>#REF!</v>
      </c>
      <c r="AH6" t="e">
        <f>AND(#REF!,"AAAAADq/7yE=")</f>
        <v>#REF!</v>
      </c>
      <c r="AI6" t="e">
        <f>AND(#REF!,"AAAAADq/7yI=")</f>
        <v>#REF!</v>
      </c>
      <c r="AJ6" t="e">
        <f>AND(#REF!,"AAAAADq/7yM=")</f>
        <v>#REF!</v>
      </c>
      <c r="AK6" t="e">
        <f>AND(#REF!,"AAAAADq/7yQ=")</f>
        <v>#REF!</v>
      </c>
      <c r="AL6" t="e">
        <f>AND(#REF!,"AAAAADq/7yU=")</f>
        <v>#REF!</v>
      </c>
      <c r="AM6" t="e">
        <f>AND(#REF!,"AAAAADq/7yY=")</f>
        <v>#REF!</v>
      </c>
      <c r="AN6" t="e">
        <f>IF(#REF!,"AAAAADq/7yc=",0)</f>
        <v>#REF!</v>
      </c>
      <c r="AO6" t="e">
        <f>AND(#REF!,"AAAAADq/7yg=")</f>
        <v>#REF!</v>
      </c>
      <c r="AP6" t="e">
        <f>AND(#REF!,"AAAAADq/7yk=")</f>
        <v>#REF!</v>
      </c>
      <c r="AQ6" t="e">
        <f>AND(#REF!,"AAAAADq/7yo=")</f>
        <v>#REF!</v>
      </c>
      <c r="AR6" t="e">
        <f>AND(#REF!,"AAAAADq/7ys=")</f>
        <v>#REF!</v>
      </c>
      <c r="AS6" t="e">
        <f>AND(#REF!,"AAAAADq/7yw=")</f>
        <v>#REF!</v>
      </c>
      <c r="AT6" t="e">
        <f>AND(#REF!,"AAAAADq/7y0=")</f>
        <v>#REF!</v>
      </c>
      <c r="AU6" t="e">
        <f>AND(#REF!,"AAAAADq/7y4=")</f>
        <v>#REF!</v>
      </c>
      <c r="AV6" t="e">
        <f>AND(#REF!,"AAAAADq/7y8=")</f>
        <v>#REF!</v>
      </c>
      <c r="AW6" t="e">
        <f>AND(#REF!,"AAAAADq/7zA=")</f>
        <v>#REF!</v>
      </c>
      <c r="AX6" t="e">
        <f>AND(#REF!,"AAAAADq/7zE=")</f>
        <v>#REF!</v>
      </c>
      <c r="AY6" t="e">
        <f>AND(#REF!,"AAAAADq/7zI=")</f>
        <v>#REF!</v>
      </c>
      <c r="AZ6" t="e">
        <f>AND(#REF!,"AAAAADq/7zM=")</f>
        <v>#REF!</v>
      </c>
      <c r="BA6" t="e">
        <f>IF(#REF!,"AAAAADq/7zQ=",0)</f>
        <v>#REF!</v>
      </c>
      <c r="BB6" t="e">
        <f>AND(#REF!,"AAAAADq/7zU=")</f>
        <v>#REF!</v>
      </c>
      <c r="BC6" t="e">
        <f>AND(#REF!,"AAAAADq/7zY=")</f>
        <v>#REF!</v>
      </c>
      <c r="BD6" t="e">
        <f>AND(#REF!,"AAAAADq/7zc=")</f>
        <v>#REF!</v>
      </c>
      <c r="BE6" t="e">
        <f>AND(#REF!,"AAAAADq/7zg=")</f>
        <v>#REF!</v>
      </c>
      <c r="BF6" t="e">
        <f>AND(#REF!,"AAAAADq/7zk=")</f>
        <v>#REF!</v>
      </c>
      <c r="BG6" t="e">
        <f>AND(#REF!,"AAAAADq/7zo=")</f>
        <v>#REF!</v>
      </c>
      <c r="BH6" t="e">
        <f>AND(#REF!,"AAAAADq/7zs=")</f>
        <v>#REF!</v>
      </c>
      <c r="BI6" t="e">
        <f>AND(#REF!,"AAAAADq/7zw=")</f>
        <v>#REF!</v>
      </c>
      <c r="BJ6" t="e">
        <f>AND(#REF!,"AAAAADq/7z0=")</f>
        <v>#REF!</v>
      </c>
      <c r="BK6" t="e">
        <f>AND(#REF!,"AAAAADq/7z4=")</f>
        <v>#REF!</v>
      </c>
      <c r="BL6" t="e">
        <f>AND(#REF!,"AAAAADq/7z8=")</f>
        <v>#REF!</v>
      </c>
      <c r="BM6" t="e">
        <f>AND(#REF!,"AAAAADq/70A=")</f>
        <v>#REF!</v>
      </c>
      <c r="BN6" t="e">
        <f>IF(#REF!,"AAAAADq/70E=",0)</f>
        <v>#REF!</v>
      </c>
      <c r="BO6" t="e">
        <f>AND(#REF!,"AAAAADq/70I=")</f>
        <v>#REF!</v>
      </c>
      <c r="BP6" t="e">
        <f>AND(#REF!,"AAAAADq/70M=")</f>
        <v>#REF!</v>
      </c>
      <c r="BQ6" t="e">
        <f>AND(#REF!,"AAAAADq/70Q=")</f>
        <v>#REF!</v>
      </c>
      <c r="BR6" t="e">
        <f>AND(#REF!,"AAAAADq/70U=")</f>
        <v>#REF!</v>
      </c>
      <c r="BS6" t="e">
        <f>AND(#REF!,"AAAAADq/70Y=")</f>
        <v>#REF!</v>
      </c>
      <c r="BT6" t="e">
        <f>AND(#REF!,"AAAAADq/70c=")</f>
        <v>#REF!</v>
      </c>
      <c r="BU6" t="e">
        <f>AND(#REF!,"AAAAADq/70g=")</f>
        <v>#REF!</v>
      </c>
      <c r="BV6" t="e">
        <f>AND(#REF!,"AAAAADq/70k=")</f>
        <v>#REF!</v>
      </c>
      <c r="BW6" t="e">
        <f>AND(#REF!,"AAAAADq/70o=")</f>
        <v>#REF!</v>
      </c>
      <c r="BX6" t="e">
        <f>AND(#REF!,"AAAAADq/70s=")</f>
        <v>#REF!</v>
      </c>
      <c r="BY6" t="e">
        <f>AND(#REF!,"AAAAADq/70w=")</f>
        <v>#REF!</v>
      </c>
      <c r="BZ6" t="e">
        <f>AND(#REF!,"AAAAADq/700=")</f>
        <v>#REF!</v>
      </c>
      <c r="CA6" t="e">
        <f>IF(#REF!,"AAAAADq/704=",0)</f>
        <v>#REF!</v>
      </c>
      <c r="CB6" t="e">
        <f>AND(#REF!,"AAAAADq/708=")</f>
        <v>#REF!</v>
      </c>
      <c r="CC6" t="e">
        <f>AND(#REF!,"AAAAADq/71A=")</f>
        <v>#REF!</v>
      </c>
      <c r="CD6" t="e">
        <f>AND(#REF!,"AAAAADq/71E=")</f>
        <v>#REF!</v>
      </c>
      <c r="CE6" t="e">
        <f>AND(#REF!,"AAAAADq/71I=")</f>
        <v>#REF!</v>
      </c>
      <c r="CF6" t="e">
        <f>AND(#REF!,"AAAAADq/71M=")</f>
        <v>#REF!</v>
      </c>
      <c r="CG6" t="e">
        <f>AND(#REF!,"AAAAADq/71Q=")</f>
        <v>#REF!</v>
      </c>
      <c r="CH6" t="e">
        <f>AND(#REF!,"AAAAADq/71U=")</f>
        <v>#REF!</v>
      </c>
      <c r="CI6" t="e">
        <f>AND(#REF!,"AAAAADq/71Y=")</f>
        <v>#REF!</v>
      </c>
      <c r="CJ6" t="e">
        <f>AND(#REF!,"AAAAADq/71c=")</f>
        <v>#REF!</v>
      </c>
      <c r="CK6" t="e">
        <f>AND(#REF!,"AAAAADq/71g=")</f>
        <v>#REF!</v>
      </c>
      <c r="CL6" t="e">
        <f>AND(#REF!,"AAAAADq/71k=")</f>
        <v>#REF!</v>
      </c>
      <c r="CM6" t="e">
        <f>AND(#REF!,"AAAAADq/71o=")</f>
        <v>#REF!</v>
      </c>
      <c r="CN6" t="e">
        <f>IF(#REF!,"AAAAADq/71s=",0)</f>
        <v>#REF!</v>
      </c>
      <c r="CO6" t="e">
        <f>AND(#REF!,"AAAAADq/71w=")</f>
        <v>#REF!</v>
      </c>
      <c r="CP6" t="e">
        <f>AND(#REF!,"AAAAADq/710=")</f>
        <v>#REF!</v>
      </c>
      <c r="CQ6" t="e">
        <f>AND(#REF!,"AAAAADq/714=")</f>
        <v>#REF!</v>
      </c>
      <c r="CR6" t="e">
        <f>AND(#REF!,"AAAAADq/718=")</f>
        <v>#REF!</v>
      </c>
      <c r="CS6" t="e">
        <f>AND(#REF!,"AAAAADq/72A=")</f>
        <v>#REF!</v>
      </c>
      <c r="CT6" t="e">
        <f>AND(#REF!,"AAAAADq/72E=")</f>
        <v>#REF!</v>
      </c>
      <c r="CU6" t="e">
        <f>AND(#REF!,"AAAAADq/72I=")</f>
        <v>#REF!</v>
      </c>
      <c r="CV6" t="e">
        <f>AND(#REF!,"AAAAADq/72M=")</f>
        <v>#REF!</v>
      </c>
      <c r="CW6" t="e">
        <f>AND(#REF!,"AAAAADq/72Q=")</f>
        <v>#REF!</v>
      </c>
      <c r="CX6" t="e">
        <f>AND(#REF!,"AAAAADq/72U=")</f>
        <v>#REF!</v>
      </c>
      <c r="CY6" t="e">
        <f>AND(#REF!,"AAAAADq/72Y=")</f>
        <v>#REF!</v>
      </c>
      <c r="CZ6" t="e">
        <f>AND(#REF!,"AAAAADq/72c=")</f>
        <v>#REF!</v>
      </c>
      <c r="DA6" t="e">
        <f>IF(#REF!,"AAAAADq/72g=",0)</f>
        <v>#REF!</v>
      </c>
      <c r="DB6" t="e">
        <f>AND(#REF!,"AAAAADq/72k=")</f>
        <v>#REF!</v>
      </c>
      <c r="DC6" t="e">
        <f>AND(#REF!,"AAAAADq/72o=")</f>
        <v>#REF!</v>
      </c>
      <c r="DD6" t="e">
        <f>AND(#REF!,"AAAAADq/72s=")</f>
        <v>#REF!</v>
      </c>
      <c r="DE6" t="e">
        <f>AND(#REF!,"AAAAADq/72w=")</f>
        <v>#REF!</v>
      </c>
      <c r="DF6" t="e">
        <f>AND(#REF!,"AAAAADq/720=")</f>
        <v>#REF!</v>
      </c>
      <c r="DG6" t="e">
        <f>AND(#REF!,"AAAAADq/724=")</f>
        <v>#REF!</v>
      </c>
      <c r="DH6" t="e">
        <f>AND(#REF!,"AAAAADq/728=")</f>
        <v>#REF!</v>
      </c>
      <c r="DI6" t="e">
        <f>AND(#REF!,"AAAAADq/73A=")</f>
        <v>#REF!</v>
      </c>
      <c r="DJ6" t="e">
        <f>AND(#REF!,"AAAAADq/73E=")</f>
        <v>#REF!</v>
      </c>
      <c r="DK6" t="e">
        <f>AND(#REF!,"AAAAADq/73I=")</f>
        <v>#REF!</v>
      </c>
      <c r="DL6" t="e">
        <f>AND(#REF!,"AAAAADq/73M=")</f>
        <v>#REF!</v>
      </c>
      <c r="DM6" t="e">
        <f>AND(#REF!,"AAAAADq/73Q=")</f>
        <v>#REF!</v>
      </c>
      <c r="DN6" t="e">
        <f>IF(#REF!,"AAAAADq/73U=",0)</f>
        <v>#REF!</v>
      </c>
      <c r="DO6" t="e">
        <f>AND(#REF!,"AAAAADq/73Y=")</f>
        <v>#REF!</v>
      </c>
      <c r="DP6" t="e">
        <f>AND(#REF!,"AAAAADq/73c=")</f>
        <v>#REF!</v>
      </c>
      <c r="DQ6" t="e">
        <f>AND(#REF!,"AAAAADq/73g=")</f>
        <v>#REF!</v>
      </c>
      <c r="DR6" t="e">
        <f>AND(#REF!,"AAAAADq/73k=")</f>
        <v>#REF!</v>
      </c>
      <c r="DS6" t="e">
        <f>AND(#REF!,"AAAAADq/73o=")</f>
        <v>#REF!</v>
      </c>
      <c r="DT6" t="e">
        <f>AND(#REF!,"AAAAADq/73s=")</f>
        <v>#REF!</v>
      </c>
      <c r="DU6" t="e">
        <f>AND(#REF!,"AAAAADq/73w=")</f>
        <v>#REF!</v>
      </c>
      <c r="DV6" t="e">
        <f>AND(#REF!,"AAAAADq/730=")</f>
        <v>#REF!</v>
      </c>
      <c r="DW6" t="e">
        <f>AND(#REF!,"AAAAADq/734=")</f>
        <v>#REF!</v>
      </c>
      <c r="DX6" t="e">
        <f>AND(#REF!,"AAAAADq/738=")</f>
        <v>#REF!</v>
      </c>
      <c r="DY6" t="e">
        <f>AND(#REF!,"AAAAADq/74A=")</f>
        <v>#REF!</v>
      </c>
      <c r="DZ6" t="e">
        <f>AND(#REF!,"AAAAADq/74E=")</f>
        <v>#REF!</v>
      </c>
      <c r="EA6" t="e">
        <f>IF(#REF!,"AAAAADq/74I=",0)</f>
        <v>#REF!</v>
      </c>
      <c r="EB6" t="e">
        <f>AND(#REF!,"AAAAADq/74M=")</f>
        <v>#REF!</v>
      </c>
      <c r="EC6" t="e">
        <f>AND(#REF!,"AAAAADq/74Q=")</f>
        <v>#REF!</v>
      </c>
      <c r="ED6" t="e">
        <f>AND(#REF!,"AAAAADq/74U=")</f>
        <v>#REF!</v>
      </c>
      <c r="EE6" t="e">
        <f>AND(#REF!,"AAAAADq/74Y=")</f>
        <v>#REF!</v>
      </c>
      <c r="EF6" t="e">
        <f>AND(#REF!,"AAAAADq/74c=")</f>
        <v>#REF!</v>
      </c>
      <c r="EG6" t="e">
        <f>AND(#REF!,"AAAAADq/74g=")</f>
        <v>#REF!</v>
      </c>
      <c r="EH6" t="e">
        <f>AND(#REF!,"AAAAADq/74k=")</f>
        <v>#REF!</v>
      </c>
      <c r="EI6" t="e">
        <f>AND(#REF!,"AAAAADq/74o=")</f>
        <v>#REF!</v>
      </c>
      <c r="EJ6" t="e">
        <f>AND(#REF!,"AAAAADq/74s=")</f>
        <v>#REF!</v>
      </c>
      <c r="EK6" t="e">
        <f>AND(#REF!,"AAAAADq/74w=")</f>
        <v>#REF!</v>
      </c>
      <c r="EL6" t="e">
        <f>AND(#REF!,"AAAAADq/740=")</f>
        <v>#REF!</v>
      </c>
      <c r="EM6" t="e">
        <f>AND(#REF!,"AAAAADq/744=")</f>
        <v>#REF!</v>
      </c>
      <c r="EN6" t="e">
        <f>IF(#REF!,"AAAAADq/748=",0)</f>
        <v>#REF!</v>
      </c>
      <c r="EO6" t="e">
        <f>AND(#REF!,"AAAAADq/75A=")</f>
        <v>#REF!</v>
      </c>
      <c r="EP6" t="e">
        <f>AND(#REF!,"AAAAADq/75E=")</f>
        <v>#REF!</v>
      </c>
      <c r="EQ6" t="e">
        <f>AND(#REF!,"AAAAADq/75I=")</f>
        <v>#REF!</v>
      </c>
      <c r="ER6" t="e">
        <f>AND(#REF!,"AAAAADq/75M=")</f>
        <v>#REF!</v>
      </c>
      <c r="ES6" t="e">
        <f>AND(#REF!,"AAAAADq/75Q=")</f>
        <v>#REF!</v>
      </c>
      <c r="ET6" t="e">
        <f>AND(#REF!,"AAAAADq/75U=")</f>
        <v>#REF!</v>
      </c>
      <c r="EU6" t="e">
        <f>AND(#REF!,"AAAAADq/75Y=")</f>
        <v>#REF!</v>
      </c>
      <c r="EV6" t="e">
        <f>AND(#REF!,"AAAAADq/75c=")</f>
        <v>#REF!</v>
      </c>
      <c r="EW6" t="e">
        <f>AND(#REF!,"AAAAADq/75g=")</f>
        <v>#REF!</v>
      </c>
      <c r="EX6" t="e">
        <f>AND(#REF!,"AAAAADq/75k=")</f>
        <v>#REF!</v>
      </c>
      <c r="EY6" t="e">
        <f>AND(#REF!,"AAAAADq/75o=")</f>
        <v>#REF!</v>
      </c>
      <c r="EZ6" t="e">
        <f>AND(#REF!,"AAAAADq/75s=")</f>
        <v>#REF!</v>
      </c>
      <c r="FA6" t="e">
        <f>IF(#REF!,"AAAAADq/75w=",0)</f>
        <v>#REF!</v>
      </c>
      <c r="FB6" t="e">
        <f>AND(#REF!,"AAAAADq/750=")</f>
        <v>#REF!</v>
      </c>
      <c r="FC6" t="e">
        <f>AND(#REF!,"AAAAADq/754=")</f>
        <v>#REF!</v>
      </c>
      <c r="FD6" t="e">
        <f>AND(#REF!,"AAAAADq/758=")</f>
        <v>#REF!</v>
      </c>
      <c r="FE6" t="e">
        <f>AND(#REF!,"AAAAADq/76A=")</f>
        <v>#REF!</v>
      </c>
      <c r="FF6" t="e">
        <f>AND(#REF!,"AAAAADq/76E=")</f>
        <v>#REF!</v>
      </c>
      <c r="FG6" t="e">
        <f>AND(#REF!,"AAAAADq/76I=")</f>
        <v>#REF!</v>
      </c>
      <c r="FH6" t="e">
        <f>AND(#REF!,"AAAAADq/76M=")</f>
        <v>#REF!</v>
      </c>
      <c r="FI6" t="e">
        <f>AND(#REF!,"AAAAADq/76Q=")</f>
        <v>#REF!</v>
      </c>
      <c r="FJ6" t="e">
        <f>AND(#REF!,"AAAAADq/76U=")</f>
        <v>#REF!</v>
      </c>
      <c r="FK6" t="e">
        <f>AND(#REF!,"AAAAADq/76Y=")</f>
        <v>#REF!</v>
      </c>
      <c r="FL6" t="e">
        <f>AND(#REF!,"AAAAADq/76c=")</f>
        <v>#REF!</v>
      </c>
      <c r="FM6" t="e">
        <f>AND(#REF!,"AAAAADq/76g=")</f>
        <v>#REF!</v>
      </c>
      <c r="FN6" t="e">
        <f>IF(#REF!,"AAAAADq/76k=",0)</f>
        <v>#REF!</v>
      </c>
      <c r="FO6" t="e">
        <f>AND(#REF!,"AAAAADq/76o=")</f>
        <v>#REF!</v>
      </c>
      <c r="FP6" t="e">
        <f>AND(#REF!,"AAAAADq/76s=")</f>
        <v>#REF!</v>
      </c>
      <c r="FQ6" t="e">
        <f>AND(#REF!,"AAAAADq/76w=")</f>
        <v>#REF!</v>
      </c>
      <c r="FR6" t="e">
        <f>AND(#REF!,"AAAAADq/760=")</f>
        <v>#REF!</v>
      </c>
      <c r="FS6" t="e">
        <f>AND(#REF!,"AAAAADq/764=")</f>
        <v>#REF!</v>
      </c>
      <c r="FT6" t="e">
        <f>AND(#REF!,"AAAAADq/768=")</f>
        <v>#REF!</v>
      </c>
      <c r="FU6" t="e">
        <f>AND(#REF!,"AAAAADq/77A=")</f>
        <v>#REF!</v>
      </c>
      <c r="FV6" t="e">
        <f>AND(#REF!,"AAAAADq/77E=")</f>
        <v>#REF!</v>
      </c>
      <c r="FW6" t="e">
        <f>AND(#REF!,"AAAAADq/77I=")</f>
        <v>#REF!</v>
      </c>
      <c r="FX6" t="e">
        <f>AND(#REF!,"AAAAADq/77M=")</f>
        <v>#REF!</v>
      </c>
      <c r="FY6" t="e">
        <f>AND(#REF!,"AAAAADq/77Q=")</f>
        <v>#REF!</v>
      </c>
      <c r="FZ6" t="e">
        <f>AND(#REF!,"AAAAADq/77U=")</f>
        <v>#REF!</v>
      </c>
      <c r="GA6" t="e">
        <f>IF(#REF!,"AAAAADq/77Y=",0)</f>
        <v>#REF!</v>
      </c>
      <c r="GB6" t="e">
        <f>AND(#REF!,"AAAAADq/77c=")</f>
        <v>#REF!</v>
      </c>
      <c r="GC6" t="e">
        <f>AND(#REF!,"AAAAADq/77g=")</f>
        <v>#REF!</v>
      </c>
      <c r="GD6" t="e">
        <f>AND(#REF!,"AAAAADq/77k=")</f>
        <v>#REF!</v>
      </c>
      <c r="GE6" t="e">
        <f>AND(#REF!,"AAAAADq/77o=")</f>
        <v>#REF!</v>
      </c>
      <c r="GF6" t="e">
        <f>AND(#REF!,"AAAAADq/77s=")</f>
        <v>#REF!</v>
      </c>
      <c r="GG6" t="e">
        <f>AND(#REF!,"AAAAADq/77w=")</f>
        <v>#REF!</v>
      </c>
      <c r="GH6" t="e">
        <f>AND(#REF!,"AAAAADq/770=")</f>
        <v>#REF!</v>
      </c>
      <c r="GI6" t="e">
        <f>AND(#REF!,"AAAAADq/774=")</f>
        <v>#REF!</v>
      </c>
      <c r="GJ6" t="e">
        <f>AND(#REF!,"AAAAADq/778=")</f>
        <v>#REF!</v>
      </c>
      <c r="GK6" t="e">
        <f>AND(#REF!,"AAAAADq/78A=")</f>
        <v>#REF!</v>
      </c>
      <c r="GL6" t="e">
        <f>AND(#REF!,"AAAAADq/78E=")</f>
        <v>#REF!</v>
      </c>
      <c r="GM6" t="e">
        <f>AND(#REF!,"AAAAADq/78I=")</f>
        <v>#REF!</v>
      </c>
      <c r="GN6" t="e">
        <f>IF(#REF!,"AAAAADq/78M=",0)</f>
        <v>#REF!</v>
      </c>
      <c r="GO6" t="e">
        <f>AND(#REF!,"AAAAADq/78Q=")</f>
        <v>#REF!</v>
      </c>
      <c r="GP6" t="e">
        <f>AND(#REF!,"AAAAADq/78U=")</f>
        <v>#REF!</v>
      </c>
      <c r="GQ6" t="e">
        <f>AND(#REF!,"AAAAADq/78Y=")</f>
        <v>#REF!</v>
      </c>
      <c r="GR6" t="e">
        <f>AND(#REF!,"AAAAADq/78c=")</f>
        <v>#REF!</v>
      </c>
      <c r="GS6" t="e">
        <f>AND(#REF!,"AAAAADq/78g=")</f>
        <v>#REF!</v>
      </c>
      <c r="GT6" t="e">
        <f>AND(#REF!,"AAAAADq/78k=")</f>
        <v>#REF!</v>
      </c>
      <c r="GU6" t="e">
        <f>AND(#REF!,"AAAAADq/78o=")</f>
        <v>#REF!</v>
      </c>
      <c r="GV6" t="e">
        <f>AND(#REF!,"AAAAADq/78s=")</f>
        <v>#REF!</v>
      </c>
      <c r="GW6" t="e">
        <f>AND(#REF!,"AAAAADq/78w=")</f>
        <v>#REF!</v>
      </c>
      <c r="GX6" t="e">
        <f>AND(#REF!,"AAAAADq/780=")</f>
        <v>#REF!</v>
      </c>
      <c r="GY6" t="e">
        <f>AND(#REF!,"AAAAADq/784=")</f>
        <v>#REF!</v>
      </c>
      <c r="GZ6" t="e">
        <f>AND(#REF!,"AAAAADq/788=")</f>
        <v>#REF!</v>
      </c>
      <c r="HA6" t="e">
        <f>IF(#REF!,"AAAAADq/79A=",0)</f>
        <v>#REF!</v>
      </c>
      <c r="HB6" t="e">
        <f>AND(#REF!,"AAAAADq/79E=")</f>
        <v>#REF!</v>
      </c>
      <c r="HC6" t="e">
        <f>AND(#REF!,"AAAAADq/79I=")</f>
        <v>#REF!</v>
      </c>
      <c r="HD6" t="e">
        <f>AND(#REF!,"AAAAADq/79M=")</f>
        <v>#REF!</v>
      </c>
      <c r="HE6" t="e">
        <f>AND(#REF!,"AAAAADq/79Q=")</f>
        <v>#REF!</v>
      </c>
      <c r="HF6" t="e">
        <f>AND(#REF!,"AAAAADq/79U=")</f>
        <v>#REF!</v>
      </c>
      <c r="HG6" t="e">
        <f>AND(#REF!,"AAAAADq/79Y=")</f>
        <v>#REF!</v>
      </c>
      <c r="HH6" t="e">
        <f>AND(#REF!,"AAAAADq/79c=")</f>
        <v>#REF!</v>
      </c>
      <c r="HI6" t="e">
        <f>AND(#REF!,"AAAAADq/79g=")</f>
        <v>#REF!</v>
      </c>
      <c r="HJ6" t="e">
        <f>AND(#REF!,"AAAAADq/79k=")</f>
        <v>#REF!</v>
      </c>
      <c r="HK6" t="e">
        <f>AND(#REF!,"AAAAADq/79o=")</f>
        <v>#REF!</v>
      </c>
      <c r="HL6" t="e">
        <f>AND(#REF!,"AAAAADq/79s=")</f>
        <v>#REF!</v>
      </c>
      <c r="HM6" t="e">
        <f>AND(#REF!,"AAAAADq/79w=")</f>
        <v>#REF!</v>
      </c>
      <c r="HN6" t="e">
        <f>IF(#REF!,"AAAAADq/790=",0)</f>
        <v>#REF!</v>
      </c>
      <c r="HO6" t="e">
        <f>AND(#REF!,"AAAAADq/794=")</f>
        <v>#REF!</v>
      </c>
      <c r="HP6" t="e">
        <f>AND(#REF!,"AAAAADq/798=")</f>
        <v>#REF!</v>
      </c>
      <c r="HQ6" t="e">
        <f>AND(#REF!,"AAAAADq/7+A=")</f>
        <v>#REF!</v>
      </c>
      <c r="HR6" t="e">
        <f>AND(#REF!,"AAAAADq/7+E=")</f>
        <v>#REF!</v>
      </c>
      <c r="HS6" t="e">
        <f>AND(#REF!,"AAAAADq/7+I=")</f>
        <v>#REF!</v>
      </c>
      <c r="HT6" t="e">
        <f>AND(#REF!,"AAAAADq/7+M=")</f>
        <v>#REF!</v>
      </c>
      <c r="HU6" t="e">
        <f>AND(#REF!,"AAAAADq/7+Q=")</f>
        <v>#REF!</v>
      </c>
      <c r="HV6" t="e">
        <f>AND(#REF!,"AAAAADq/7+U=")</f>
        <v>#REF!</v>
      </c>
      <c r="HW6" t="e">
        <f>AND(#REF!,"AAAAADq/7+Y=")</f>
        <v>#REF!</v>
      </c>
      <c r="HX6" t="e">
        <f>AND(#REF!,"AAAAADq/7+c=")</f>
        <v>#REF!</v>
      </c>
      <c r="HY6" t="e">
        <f>AND(#REF!,"AAAAADq/7+g=")</f>
        <v>#REF!</v>
      </c>
      <c r="HZ6" t="e">
        <f>AND(#REF!,"AAAAADq/7+k=")</f>
        <v>#REF!</v>
      </c>
      <c r="IA6" t="e">
        <f>IF(#REF!,"AAAAADq/7+o=",0)</f>
        <v>#REF!</v>
      </c>
      <c r="IB6" t="e">
        <f>AND(#REF!,"AAAAADq/7+s=")</f>
        <v>#REF!</v>
      </c>
      <c r="IC6" t="e">
        <f>AND(#REF!,"AAAAADq/7+w=")</f>
        <v>#REF!</v>
      </c>
      <c r="ID6" t="e">
        <f>AND(#REF!,"AAAAADq/7+0=")</f>
        <v>#REF!</v>
      </c>
      <c r="IE6" t="e">
        <f>AND(#REF!,"AAAAADq/7+4=")</f>
        <v>#REF!</v>
      </c>
      <c r="IF6" t="e">
        <f>AND(#REF!,"AAAAADq/7+8=")</f>
        <v>#REF!</v>
      </c>
      <c r="IG6" t="e">
        <f>AND(#REF!,"AAAAADq/7/A=")</f>
        <v>#REF!</v>
      </c>
      <c r="IH6" t="e">
        <f>AND(#REF!,"AAAAADq/7/E=")</f>
        <v>#REF!</v>
      </c>
      <c r="II6" t="e">
        <f>AND(#REF!,"AAAAADq/7/I=")</f>
        <v>#REF!</v>
      </c>
      <c r="IJ6" t="e">
        <f>AND(#REF!,"AAAAADq/7/M=")</f>
        <v>#REF!</v>
      </c>
      <c r="IK6" t="e">
        <f>AND(#REF!,"AAAAADq/7/Q=")</f>
        <v>#REF!</v>
      </c>
      <c r="IL6" t="e">
        <f>AND(#REF!,"AAAAADq/7/U=")</f>
        <v>#REF!</v>
      </c>
      <c r="IM6" t="e">
        <f>AND(#REF!,"AAAAADq/7/Y=")</f>
        <v>#REF!</v>
      </c>
      <c r="IN6" t="e">
        <f>IF(#REF!,"AAAAADq/7/c=",0)</f>
        <v>#REF!</v>
      </c>
      <c r="IO6" t="e">
        <f>AND(#REF!,"AAAAADq/7/g=")</f>
        <v>#REF!</v>
      </c>
      <c r="IP6" t="e">
        <f>AND(#REF!,"AAAAADq/7/k=")</f>
        <v>#REF!</v>
      </c>
      <c r="IQ6" t="e">
        <f>AND(#REF!,"AAAAADq/7/o=")</f>
        <v>#REF!</v>
      </c>
      <c r="IR6" t="e">
        <f>AND(#REF!,"AAAAADq/7/s=")</f>
        <v>#REF!</v>
      </c>
      <c r="IS6" t="e">
        <f>AND(#REF!,"AAAAADq/7/w=")</f>
        <v>#REF!</v>
      </c>
      <c r="IT6" t="e">
        <f>AND(#REF!,"AAAAADq/7/0=")</f>
        <v>#REF!</v>
      </c>
      <c r="IU6" t="e">
        <f>AND(#REF!,"AAAAADq/7/4=")</f>
        <v>#REF!</v>
      </c>
      <c r="IV6" t="e">
        <f>AND(#REF!,"AAAAADq/7/8=")</f>
        <v>#REF!</v>
      </c>
    </row>
    <row r="7" spans="1:256" x14ac:dyDescent="0.2">
      <c r="A7" t="e">
        <f>AND(#REF!,"AAAAAHe3cgA=")</f>
        <v>#REF!</v>
      </c>
      <c r="B7" t="e">
        <f>AND(#REF!,"AAAAAHe3cgE=")</f>
        <v>#REF!</v>
      </c>
      <c r="C7" t="e">
        <f>AND(#REF!,"AAAAAHe3cgI=")</f>
        <v>#REF!</v>
      </c>
      <c r="D7" t="e">
        <f>AND(#REF!,"AAAAAHe3cgM=")</f>
        <v>#REF!</v>
      </c>
      <c r="E7" t="e">
        <f>IF(#REF!,"AAAAAHe3cgQ=",0)</f>
        <v>#REF!</v>
      </c>
      <c r="F7" t="e">
        <f>AND(#REF!,"AAAAAHe3cgU=")</f>
        <v>#REF!</v>
      </c>
      <c r="G7" t="e">
        <f>AND(#REF!,"AAAAAHe3cgY=")</f>
        <v>#REF!</v>
      </c>
      <c r="H7" t="e">
        <f>AND(#REF!,"AAAAAHe3cgc=")</f>
        <v>#REF!</v>
      </c>
      <c r="I7" t="e">
        <f>AND(#REF!,"AAAAAHe3cgg=")</f>
        <v>#REF!</v>
      </c>
      <c r="J7" t="e">
        <f>AND(#REF!,"AAAAAHe3cgk=")</f>
        <v>#REF!</v>
      </c>
      <c r="K7" t="e">
        <f>AND(#REF!,"AAAAAHe3cgo=")</f>
        <v>#REF!</v>
      </c>
      <c r="L7" t="e">
        <f>AND(#REF!,"AAAAAHe3cgs=")</f>
        <v>#REF!</v>
      </c>
      <c r="M7" t="e">
        <f>AND(#REF!,"AAAAAHe3cgw=")</f>
        <v>#REF!</v>
      </c>
      <c r="N7" t="e">
        <f>AND(#REF!,"AAAAAHe3cg0=")</f>
        <v>#REF!</v>
      </c>
      <c r="O7" t="e">
        <f>AND(#REF!,"AAAAAHe3cg4=")</f>
        <v>#REF!</v>
      </c>
      <c r="P7" t="e">
        <f>AND(#REF!,"AAAAAHe3cg8=")</f>
        <v>#REF!</v>
      </c>
      <c r="Q7" t="e">
        <f>AND(#REF!,"AAAAAHe3chA=")</f>
        <v>#REF!</v>
      </c>
      <c r="R7" t="e">
        <f>IF(#REF!,"AAAAAHe3chE=",0)</f>
        <v>#REF!</v>
      </c>
      <c r="S7" t="e">
        <f>AND(#REF!,"AAAAAHe3chI=")</f>
        <v>#REF!</v>
      </c>
      <c r="T7" t="e">
        <f>AND(#REF!,"AAAAAHe3chM=")</f>
        <v>#REF!</v>
      </c>
      <c r="U7" t="e">
        <f>AND(#REF!,"AAAAAHe3chQ=")</f>
        <v>#REF!</v>
      </c>
      <c r="V7" t="e">
        <f>AND(#REF!,"AAAAAHe3chU=")</f>
        <v>#REF!</v>
      </c>
      <c r="W7" t="e">
        <f>AND(#REF!,"AAAAAHe3chY=")</f>
        <v>#REF!</v>
      </c>
      <c r="X7" t="e">
        <f>AND(#REF!,"AAAAAHe3chc=")</f>
        <v>#REF!</v>
      </c>
      <c r="Y7" t="e">
        <f>AND(#REF!,"AAAAAHe3chg=")</f>
        <v>#REF!</v>
      </c>
      <c r="Z7" t="e">
        <f>AND(#REF!,"AAAAAHe3chk=")</f>
        <v>#REF!</v>
      </c>
      <c r="AA7" t="e">
        <f>AND(#REF!,"AAAAAHe3cho=")</f>
        <v>#REF!</v>
      </c>
      <c r="AB7" t="e">
        <f>AND(#REF!,"AAAAAHe3chs=")</f>
        <v>#REF!</v>
      </c>
      <c r="AC7" t="e">
        <f>AND(#REF!,"AAAAAHe3chw=")</f>
        <v>#REF!</v>
      </c>
      <c r="AD7" t="e">
        <f>AND(#REF!,"AAAAAHe3ch0=")</f>
        <v>#REF!</v>
      </c>
      <c r="AE7" t="e">
        <f>IF(#REF!,"AAAAAHe3ch4=",0)</f>
        <v>#REF!</v>
      </c>
      <c r="AF7" t="e">
        <f>AND(#REF!,"AAAAAHe3ch8=")</f>
        <v>#REF!</v>
      </c>
      <c r="AG7" t="e">
        <f>AND(#REF!,"AAAAAHe3ciA=")</f>
        <v>#REF!</v>
      </c>
      <c r="AH7" t="e">
        <f>AND(#REF!,"AAAAAHe3ciE=")</f>
        <v>#REF!</v>
      </c>
      <c r="AI7" t="e">
        <f>AND(#REF!,"AAAAAHe3ciI=")</f>
        <v>#REF!</v>
      </c>
      <c r="AJ7" t="e">
        <f>AND(#REF!,"AAAAAHe3ciM=")</f>
        <v>#REF!</v>
      </c>
      <c r="AK7" t="e">
        <f>AND(#REF!,"AAAAAHe3ciQ=")</f>
        <v>#REF!</v>
      </c>
      <c r="AL7" t="e">
        <f>AND(#REF!,"AAAAAHe3ciU=")</f>
        <v>#REF!</v>
      </c>
      <c r="AM7" t="e">
        <f>AND(#REF!,"AAAAAHe3ciY=")</f>
        <v>#REF!</v>
      </c>
      <c r="AN7" t="e">
        <f>AND(#REF!,"AAAAAHe3cic=")</f>
        <v>#REF!</v>
      </c>
      <c r="AO7" t="e">
        <f>AND(#REF!,"AAAAAHe3cig=")</f>
        <v>#REF!</v>
      </c>
      <c r="AP7" t="e">
        <f>AND(#REF!,"AAAAAHe3cik=")</f>
        <v>#REF!</v>
      </c>
      <c r="AQ7" t="e">
        <f>AND(#REF!,"AAAAAHe3cio=")</f>
        <v>#REF!</v>
      </c>
      <c r="AR7" t="e">
        <f>IF(#REF!,"AAAAAHe3cis=",0)</f>
        <v>#REF!</v>
      </c>
      <c r="AS7" t="e">
        <f>AND(#REF!,"AAAAAHe3ciw=")</f>
        <v>#REF!</v>
      </c>
      <c r="AT7" t="e">
        <f>AND(#REF!,"AAAAAHe3ci0=")</f>
        <v>#REF!</v>
      </c>
      <c r="AU7" t="e">
        <f>AND(#REF!,"AAAAAHe3ci4=")</f>
        <v>#REF!</v>
      </c>
      <c r="AV7" t="e">
        <f>AND(#REF!,"AAAAAHe3ci8=")</f>
        <v>#REF!</v>
      </c>
      <c r="AW7" t="e">
        <f>AND(#REF!,"AAAAAHe3cjA=")</f>
        <v>#REF!</v>
      </c>
      <c r="AX7" t="e">
        <f>AND(#REF!,"AAAAAHe3cjE=")</f>
        <v>#REF!</v>
      </c>
      <c r="AY7" t="e">
        <f>AND(#REF!,"AAAAAHe3cjI=")</f>
        <v>#REF!</v>
      </c>
      <c r="AZ7" t="e">
        <f>AND(#REF!,"AAAAAHe3cjM=")</f>
        <v>#REF!</v>
      </c>
      <c r="BA7" t="e">
        <f>AND(#REF!,"AAAAAHe3cjQ=")</f>
        <v>#REF!</v>
      </c>
      <c r="BB7" t="e">
        <f>AND(#REF!,"AAAAAHe3cjU=")</f>
        <v>#REF!</v>
      </c>
      <c r="BC7" t="e">
        <f>AND(#REF!,"AAAAAHe3cjY=")</f>
        <v>#REF!</v>
      </c>
      <c r="BD7" t="e">
        <f>AND(#REF!,"AAAAAHe3cjc=")</f>
        <v>#REF!</v>
      </c>
      <c r="BE7" t="e">
        <f>IF(#REF!,"AAAAAHe3cjg=",0)</f>
        <v>#REF!</v>
      </c>
      <c r="BF7" t="e">
        <f>AND(#REF!,"AAAAAHe3cjk=")</f>
        <v>#REF!</v>
      </c>
      <c r="BG7" t="e">
        <f>AND(#REF!,"AAAAAHe3cjo=")</f>
        <v>#REF!</v>
      </c>
      <c r="BH7" t="e">
        <f>AND(#REF!,"AAAAAHe3cjs=")</f>
        <v>#REF!</v>
      </c>
      <c r="BI7" t="e">
        <f>AND(#REF!,"AAAAAHe3cjw=")</f>
        <v>#REF!</v>
      </c>
      <c r="BJ7" t="e">
        <f>AND(#REF!,"AAAAAHe3cj0=")</f>
        <v>#REF!</v>
      </c>
      <c r="BK7" t="e">
        <f>AND(#REF!,"AAAAAHe3cj4=")</f>
        <v>#REF!</v>
      </c>
      <c r="BL7" t="e">
        <f>AND(#REF!,"AAAAAHe3cj8=")</f>
        <v>#REF!</v>
      </c>
      <c r="BM7" t="e">
        <f>AND(#REF!,"AAAAAHe3ckA=")</f>
        <v>#REF!</v>
      </c>
      <c r="BN7" t="e">
        <f>IF(#REF!,"AAAAAHe3ckE=",0)</f>
        <v>#REF!</v>
      </c>
      <c r="BO7" t="e">
        <f>AND(#REF!,"AAAAAHe3ckI=")</f>
        <v>#REF!</v>
      </c>
      <c r="BP7" t="e">
        <f>AND(#REF!,"AAAAAHe3ckM=")</f>
        <v>#REF!</v>
      </c>
      <c r="BQ7" t="e">
        <f>AND(#REF!,"AAAAAHe3ckQ=")</f>
        <v>#REF!</v>
      </c>
      <c r="BR7" t="e">
        <f>AND(#REF!,"AAAAAHe3ckU=")</f>
        <v>#REF!</v>
      </c>
      <c r="BS7" t="e">
        <f>AND(#REF!,"AAAAAHe3ckY=")</f>
        <v>#REF!</v>
      </c>
      <c r="BT7" t="e">
        <f>AND(#REF!,"AAAAAHe3ckc=")</f>
        <v>#REF!</v>
      </c>
      <c r="BU7" t="e">
        <f>AND(#REF!,"AAAAAHe3ckg=")</f>
        <v>#REF!</v>
      </c>
      <c r="BV7" t="e">
        <f>AND(#REF!,"AAAAAHe3ckk=")</f>
        <v>#REF!</v>
      </c>
      <c r="BW7" t="e">
        <f>IF(#REF!,"AAAAAHe3cko=",0)</f>
        <v>#REF!</v>
      </c>
      <c r="BX7" t="e">
        <f>AND(#REF!,"AAAAAHe3cks=")</f>
        <v>#REF!</v>
      </c>
      <c r="BY7" t="e">
        <f>AND(#REF!,"AAAAAHe3ckw=")</f>
        <v>#REF!</v>
      </c>
      <c r="BZ7" t="e">
        <f>AND(#REF!,"AAAAAHe3ck0=")</f>
        <v>#REF!</v>
      </c>
      <c r="CA7" t="e">
        <f>AND(#REF!,"AAAAAHe3ck4=")</f>
        <v>#REF!</v>
      </c>
      <c r="CB7" t="e">
        <f>AND(#REF!,"AAAAAHe3ck8=")</f>
        <v>#REF!</v>
      </c>
      <c r="CC7" t="e">
        <f>AND(#REF!,"AAAAAHe3clA=")</f>
        <v>#REF!</v>
      </c>
      <c r="CD7" t="e">
        <f>AND(#REF!,"AAAAAHe3clE=")</f>
        <v>#REF!</v>
      </c>
      <c r="CE7" t="e">
        <f>AND(#REF!,"AAAAAHe3clI=")</f>
        <v>#REF!</v>
      </c>
      <c r="CF7" t="e">
        <f>IF(#REF!,"AAAAAHe3clM=",0)</f>
        <v>#REF!</v>
      </c>
      <c r="CG7" t="e">
        <f>AND(#REF!,"AAAAAHe3clQ=")</f>
        <v>#REF!</v>
      </c>
      <c r="CH7" t="e">
        <f>AND(#REF!,"AAAAAHe3clU=")</f>
        <v>#REF!</v>
      </c>
      <c r="CI7" t="e">
        <f>AND(#REF!,"AAAAAHe3clY=")</f>
        <v>#REF!</v>
      </c>
      <c r="CJ7" t="e">
        <f>AND(#REF!,"AAAAAHe3clc=")</f>
        <v>#REF!</v>
      </c>
      <c r="CK7" t="e">
        <f>AND(#REF!,"AAAAAHe3clg=")</f>
        <v>#REF!</v>
      </c>
      <c r="CL7" t="e">
        <f>AND(#REF!,"AAAAAHe3clk=")</f>
        <v>#REF!</v>
      </c>
      <c r="CM7" t="e">
        <f>AND(#REF!,"AAAAAHe3clo=")</f>
        <v>#REF!</v>
      </c>
      <c r="CN7" t="e">
        <f>AND(#REF!,"AAAAAHe3cls=")</f>
        <v>#REF!</v>
      </c>
      <c r="CO7" t="e">
        <f>IF(#REF!,"AAAAAHe3clw=",0)</f>
        <v>#REF!</v>
      </c>
      <c r="CP7" t="e">
        <f>AND(#REF!,"AAAAAHe3cl0=")</f>
        <v>#REF!</v>
      </c>
      <c r="CQ7" t="e">
        <f>AND(#REF!,"AAAAAHe3cl4=")</f>
        <v>#REF!</v>
      </c>
      <c r="CR7" t="e">
        <f>AND(#REF!,"AAAAAHe3cl8=")</f>
        <v>#REF!</v>
      </c>
      <c r="CS7" t="e">
        <f>AND(#REF!,"AAAAAHe3cmA=")</f>
        <v>#REF!</v>
      </c>
      <c r="CT7" t="e">
        <f>AND(#REF!,"AAAAAHe3cmE=")</f>
        <v>#REF!</v>
      </c>
      <c r="CU7" t="e">
        <f>AND(#REF!,"AAAAAHe3cmI=")</f>
        <v>#REF!</v>
      </c>
      <c r="CV7" t="e">
        <f>AND(#REF!,"AAAAAHe3cmM=")</f>
        <v>#REF!</v>
      </c>
      <c r="CW7" t="e">
        <f>AND(#REF!,"AAAAAHe3cmQ=")</f>
        <v>#REF!</v>
      </c>
      <c r="CX7" t="e">
        <f>IF(#REF!,"AAAAAHe3cmU=",0)</f>
        <v>#REF!</v>
      </c>
      <c r="CY7" t="e">
        <f>AND(#REF!,"AAAAAHe3cmY=")</f>
        <v>#REF!</v>
      </c>
      <c r="CZ7" t="e">
        <f>AND(#REF!,"AAAAAHe3cmc=")</f>
        <v>#REF!</v>
      </c>
      <c r="DA7" t="e">
        <f>AND(#REF!,"AAAAAHe3cmg=")</f>
        <v>#REF!</v>
      </c>
      <c r="DB7" t="e">
        <f>AND(#REF!,"AAAAAHe3cmk=")</f>
        <v>#REF!</v>
      </c>
      <c r="DC7" t="e">
        <f>AND(#REF!,"AAAAAHe3cmo=")</f>
        <v>#REF!</v>
      </c>
      <c r="DD7" t="e">
        <f>AND(#REF!,"AAAAAHe3cms=")</f>
        <v>#REF!</v>
      </c>
      <c r="DE7" t="e">
        <f>AND(#REF!,"AAAAAHe3cmw=")</f>
        <v>#REF!</v>
      </c>
      <c r="DF7" t="e">
        <f>AND(#REF!,"AAAAAHe3cm0=")</f>
        <v>#REF!</v>
      </c>
      <c r="DG7" t="e">
        <f>IF(#REF!,"AAAAAHe3cm4=",0)</f>
        <v>#REF!</v>
      </c>
      <c r="DH7" t="e">
        <f>AND(#REF!,"AAAAAHe3cm8=")</f>
        <v>#REF!</v>
      </c>
      <c r="DI7" t="e">
        <f>AND(#REF!,"AAAAAHe3cnA=")</f>
        <v>#REF!</v>
      </c>
      <c r="DJ7" t="e">
        <f>AND(#REF!,"AAAAAHe3cnE=")</f>
        <v>#REF!</v>
      </c>
      <c r="DK7" t="e">
        <f>AND(#REF!,"AAAAAHe3cnI=")</f>
        <v>#REF!</v>
      </c>
      <c r="DL7" t="e">
        <f>AND(#REF!,"AAAAAHe3cnM=")</f>
        <v>#REF!</v>
      </c>
      <c r="DM7" t="e">
        <f>AND(#REF!,"AAAAAHe3cnQ=")</f>
        <v>#REF!</v>
      </c>
      <c r="DN7" t="e">
        <f>AND(#REF!,"AAAAAHe3cnU=")</f>
        <v>#REF!</v>
      </c>
      <c r="DO7" t="e">
        <f>AND(#REF!,"AAAAAHe3cnY=")</f>
        <v>#REF!</v>
      </c>
      <c r="DP7" t="e">
        <f>IF(#REF!,"AAAAAHe3cnc=",0)</f>
        <v>#REF!</v>
      </c>
      <c r="DQ7" t="e">
        <f>AND(#REF!,"AAAAAHe3cng=")</f>
        <v>#REF!</v>
      </c>
      <c r="DR7" t="e">
        <f>AND(#REF!,"AAAAAHe3cnk=")</f>
        <v>#REF!</v>
      </c>
      <c r="DS7" t="e">
        <f>AND(#REF!,"AAAAAHe3cno=")</f>
        <v>#REF!</v>
      </c>
      <c r="DT7" t="e">
        <f>AND(#REF!,"AAAAAHe3cns=")</f>
        <v>#REF!</v>
      </c>
      <c r="DU7" t="e">
        <f>AND(#REF!,"AAAAAHe3cnw=")</f>
        <v>#REF!</v>
      </c>
      <c r="DV7" t="e">
        <f>AND(#REF!,"AAAAAHe3cn0=")</f>
        <v>#REF!</v>
      </c>
      <c r="DW7" t="e">
        <f>AND(#REF!,"AAAAAHe3cn4=")</f>
        <v>#REF!</v>
      </c>
      <c r="DX7" t="e">
        <f>AND(#REF!,"AAAAAHe3cn8=")</f>
        <v>#REF!</v>
      </c>
      <c r="DY7" t="e">
        <f>IF(#REF!,"AAAAAHe3coA=",0)</f>
        <v>#REF!</v>
      </c>
      <c r="DZ7" t="e">
        <f>IF(#REF!,"AAAAAHe3coE=",0)</f>
        <v>#REF!</v>
      </c>
      <c r="EA7" t="e">
        <f>IF(#REF!,"AAAAAHe3coI=",0)</f>
        <v>#REF!</v>
      </c>
      <c r="EB7" t="e">
        <f>IF(#REF!,"AAAAAHe3coM=",0)</f>
        <v>#REF!</v>
      </c>
      <c r="EC7" t="e">
        <f>IF(#REF!,"AAAAAHe3coQ=",0)</f>
        <v>#REF!</v>
      </c>
      <c r="ED7" t="e">
        <f>IF(#REF!,"AAAAAHe3coU=",0)</f>
        <v>#REF!</v>
      </c>
      <c r="EE7" t="e">
        <f>IF(#REF!,"AAAAAHe3coY=",0)</f>
        <v>#REF!</v>
      </c>
      <c r="EF7" t="e">
        <f>IF(#REF!,"AAAAAHe3coc=",0)</f>
        <v>#REF!</v>
      </c>
      <c r="EG7" t="e">
        <f>IF(#REF!,"AAAAAHe3cog=",0)</f>
        <v>#REF!</v>
      </c>
      <c r="EH7" t="e">
        <f>IF(#REF!,"AAAAAHe3cok=",0)</f>
        <v>#REF!</v>
      </c>
      <c r="EI7" t="e">
        <f>IF(#REF!,"AAAAAHe3coo=",0)</f>
        <v>#REF!</v>
      </c>
      <c r="EJ7" t="e">
        <f>IF(#REF!,"AAAAAHe3cos=",0)</f>
        <v>#REF!</v>
      </c>
      <c r="EK7" t="e">
        <f>IF(#REF!,"AAAAAHe3cow=",0)</f>
        <v>#REF!</v>
      </c>
      <c r="EL7" t="e">
        <f>AND(#REF!,"AAAAAHe3co0=")</f>
        <v>#REF!</v>
      </c>
      <c r="EM7" t="e">
        <f>IF(#REF!,"AAAAAHe3co4=",0)</f>
        <v>#REF!</v>
      </c>
      <c r="EN7" t="s">
        <v>31</v>
      </c>
      <c r="EO7" t="s">
        <v>32</v>
      </c>
      <c r="EP7" t="e">
        <f>IF("N",ENCUESTA!_xlnm._FilterDatabase,"AAAAAHe3cpE=")</f>
        <v>#VALUE!</v>
      </c>
      <c r="EQ7" t="e">
        <f>IF("N",ENCUESTA!_xlnm.Print_Area,"AAAAAHe3cpI=")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ENCUESTA</vt:lpstr>
      <vt:lpstr>ENCUESTA!Área_de_impresión</vt:lpstr>
    </vt:vector>
  </TitlesOfParts>
  <Company>stt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slopez</dc:creator>
  <cp:lastModifiedBy>Erika Melissa Rendon Melendez</cp:lastModifiedBy>
  <cp:lastPrinted>2023-03-22T20:08:00Z</cp:lastPrinted>
  <dcterms:created xsi:type="dcterms:W3CDTF">2007-08-31T20:31:53Z</dcterms:created>
  <dcterms:modified xsi:type="dcterms:W3CDTF">2024-04-11T20:35:12Z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1xpz6qu3Rvxwrgsr9Dnwja5vQ4ixzRy_OEiJRMTqk1Ks</vt:lpwstr>
  </property>
  <property fmtid="{D5CDD505-2E9C-101B-9397-08002B2CF9AE}" pid="4" name="Google.Documents.RevisionId">
    <vt:lpwstr>10849776681028859163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  <property fmtid="{D5CDD505-2E9C-101B-9397-08002B2CF9AE}" pid="7" name="MSIP_Label_5fac521f-e930-485b-97f4-efbe7db8e98f_Enabled">
    <vt:lpwstr>true</vt:lpwstr>
  </property>
  <property fmtid="{D5CDD505-2E9C-101B-9397-08002B2CF9AE}" pid="8" name="MSIP_Label_5fac521f-e930-485b-97f4-efbe7db8e98f_SetDate">
    <vt:lpwstr>2023-03-22T20:08:09Z</vt:lpwstr>
  </property>
  <property fmtid="{D5CDD505-2E9C-101B-9397-08002B2CF9AE}" pid="9" name="MSIP_Label_5fac521f-e930-485b-97f4-efbe7db8e98f_Method">
    <vt:lpwstr>Standard</vt:lpwstr>
  </property>
  <property fmtid="{D5CDD505-2E9C-101B-9397-08002B2CF9AE}" pid="10" name="MSIP_Label_5fac521f-e930-485b-97f4-efbe7db8e98f_Name">
    <vt:lpwstr>defa4170-0d19-0005-0004-bc88714345d2</vt:lpwstr>
  </property>
  <property fmtid="{D5CDD505-2E9C-101B-9397-08002B2CF9AE}" pid="11" name="MSIP_Label_5fac521f-e930-485b-97f4-efbe7db8e98f_SiteId">
    <vt:lpwstr>9ecb216e-449b-4584-bc82-26bce78574fb</vt:lpwstr>
  </property>
  <property fmtid="{D5CDD505-2E9C-101B-9397-08002B2CF9AE}" pid="12" name="MSIP_Label_5fac521f-e930-485b-97f4-efbe7db8e98f_ActionId">
    <vt:lpwstr>07b1afe0-6aba-465f-8426-31a806cb3274</vt:lpwstr>
  </property>
  <property fmtid="{D5CDD505-2E9C-101B-9397-08002B2CF9AE}" pid="13" name="MSIP_Label_5fac521f-e930-485b-97f4-efbe7db8e98f_ContentBits">
    <vt:lpwstr>0</vt:lpwstr>
  </property>
</Properties>
</file>